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My Documents\Work\Work Downloads\"/>
    </mc:Choice>
  </mc:AlternateContent>
  <bookViews>
    <workbookView xWindow="0" yWindow="0" windowWidth="11970" windowHeight="4680" tabRatio="500"/>
  </bookViews>
  <sheets>
    <sheet name="Introduction" sheetId="3" r:id="rId1"/>
    <sheet name="Embodied Emissions" sheetId="1" r:id="rId2"/>
    <sheet name="Required OPGEE data" sheetId="2"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255" i="1" l="1"/>
  <c r="M255" i="1"/>
  <c r="E187" i="1"/>
  <c r="G61" i="1"/>
  <c r="D187" i="1"/>
  <c r="H187" i="1"/>
  <c r="E188" i="1"/>
  <c r="D188" i="1"/>
  <c r="H188" i="1"/>
  <c r="E189" i="1"/>
  <c r="G63" i="1"/>
  <c r="D189" i="1"/>
  <c r="H189" i="1"/>
  <c r="E190" i="1"/>
  <c r="D190" i="1"/>
  <c r="H190" i="1"/>
  <c r="H65" i="1"/>
  <c r="E191" i="1"/>
  <c r="G65" i="1"/>
  <c r="D191" i="1"/>
  <c r="H191" i="1"/>
  <c r="H66" i="1"/>
  <c r="E192" i="1"/>
  <c r="M225" i="1"/>
  <c r="M230" i="1"/>
  <c r="M231" i="1"/>
  <c r="G237" i="1"/>
  <c r="M244" i="1"/>
  <c r="V15" i="1"/>
  <c r="C15" i="1"/>
  <c r="J236" i="1"/>
  <c r="M245" i="1"/>
  <c r="V14" i="1"/>
  <c r="C14" i="1"/>
  <c r="M246" i="1"/>
  <c r="V16" i="1"/>
  <c r="C16" i="1"/>
  <c r="M646" i="1"/>
  <c r="W16" i="1"/>
  <c r="D16" i="1"/>
  <c r="F16" i="1"/>
  <c r="E16" i="1"/>
  <c r="Y16" i="1"/>
  <c r="X16" i="1"/>
  <c r="M247" i="1"/>
  <c r="D236" i="1"/>
  <c r="M243" i="1"/>
  <c r="C236" i="1"/>
  <c r="M242" i="1"/>
  <c r="R235" i="1"/>
  <c r="R236" i="1"/>
  <c r="R237" i="1"/>
  <c r="R238" i="1"/>
  <c r="O236" i="1"/>
  <c r="O237" i="1"/>
  <c r="O238" i="1"/>
  <c r="O235" i="1"/>
  <c r="M283" i="1"/>
  <c r="M285" i="1"/>
  <c r="F61" i="1"/>
  <c r="C187" i="1"/>
  <c r="F187" i="1"/>
  <c r="G187" i="1"/>
  <c r="C188" i="1"/>
  <c r="F188" i="1"/>
  <c r="G188" i="1"/>
  <c r="F63" i="1"/>
  <c r="C189" i="1"/>
  <c r="F189" i="1"/>
  <c r="G189" i="1"/>
  <c r="C190" i="1"/>
  <c r="F190" i="1"/>
  <c r="M171" i="1"/>
  <c r="G190" i="1"/>
  <c r="B45" i="1"/>
  <c r="F65" i="1"/>
  <c r="C191" i="1"/>
  <c r="F191" i="1"/>
  <c r="G191" i="1"/>
  <c r="G192" i="1"/>
  <c r="M213" i="1"/>
  <c r="M218" i="1"/>
  <c r="M219" i="1"/>
  <c r="N629" i="1"/>
  <c r="N628" i="1"/>
  <c r="N630" i="1"/>
  <c r="D156" i="1"/>
  <c r="N631" i="1"/>
  <c r="M631" i="1"/>
  <c r="M589" i="1"/>
  <c r="M630" i="1"/>
  <c r="M638" i="1"/>
  <c r="M629" i="1"/>
  <c r="M628" i="1"/>
  <c r="W15" i="1"/>
  <c r="D15" i="1"/>
  <c r="F15" i="1"/>
  <c r="W17" i="1"/>
  <c r="D17" i="1"/>
  <c r="F17" i="1"/>
  <c r="W18" i="1"/>
  <c r="D18" i="1"/>
  <c r="F18" i="1"/>
  <c r="W19" i="1"/>
  <c r="D19" i="1"/>
  <c r="F19" i="1"/>
  <c r="W20" i="1"/>
  <c r="D20" i="1"/>
  <c r="F20" i="1"/>
  <c r="W21" i="1"/>
  <c r="D21" i="1"/>
  <c r="F21" i="1"/>
  <c r="W14" i="1"/>
  <c r="D14" i="1"/>
  <c r="F14" i="1"/>
  <c r="E15" i="1"/>
  <c r="V17" i="1"/>
  <c r="C17" i="1"/>
  <c r="E17" i="1"/>
  <c r="V18" i="1"/>
  <c r="C18" i="1"/>
  <c r="E18" i="1"/>
  <c r="V19" i="1"/>
  <c r="C19" i="1"/>
  <c r="E19" i="1"/>
  <c r="V20" i="1"/>
  <c r="C20" i="1"/>
  <c r="E20" i="1"/>
  <c r="V21" i="1"/>
  <c r="C21" i="1"/>
  <c r="E21" i="1"/>
  <c r="E14" i="1"/>
  <c r="X15" i="1"/>
  <c r="X17" i="1"/>
  <c r="X18" i="1"/>
  <c r="X19" i="1"/>
  <c r="X20" i="1"/>
  <c r="X21" i="1"/>
  <c r="X14" i="1"/>
  <c r="Y14" i="1"/>
  <c r="Y15" i="1"/>
  <c r="Y17" i="1"/>
  <c r="Y18" i="1"/>
  <c r="Y19" i="1"/>
  <c r="Y20" i="1"/>
  <c r="Y21" i="1"/>
  <c r="M316" i="1"/>
  <c r="N316" i="1"/>
  <c r="M315" i="1"/>
  <c r="N315" i="1"/>
  <c r="N549" i="1"/>
  <c r="N550" i="1"/>
  <c r="N313" i="1"/>
  <c r="K66" i="1"/>
  <c r="K65" i="1"/>
  <c r="K61" i="1"/>
  <c r="M610" i="1"/>
  <c r="M617" i="1"/>
  <c r="M590" i="1"/>
  <c r="M611" i="1"/>
  <c r="M618" i="1"/>
  <c r="M591" i="1"/>
  <c r="M612" i="1"/>
  <c r="M619" i="1"/>
  <c r="M592" i="1"/>
  <c r="M613" i="1"/>
  <c r="M620" i="1"/>
  <c r="N576" i="1"/>
  <c r="N578" i="1"/>
  <c r="N579" i="1"/>
  <c r="M576" i="1"/>
  <c r="M578" i="1"/>
  <c r="M579" i="1"/>
  <c r="N551" i="1"/>
  <c r="N554" i="1"/>
  <c r="N555" i="1"/>
  <c r="C12" i="2"/>
  <c r="N556" i="1"/>
  <c r="M549" i="1"/>
  <c r="M550" i="1"/>
  <c r="M551" i="1"/>
  <c r="M554" i="1"/>
  <c r="M555" i="1"/>
  <c r="M556" i="1"/>
  <c r="N520" i="1"/>
  <c r="M520" i="1"/>
  <c r="N519" i="1"/>
  <c r="M519" i="1"/>
  <c r="N488" i="1"/>
  <c r="M488" i="1"/>
  <c r="N487" i="1"/>
  <c r="M487" i="1"/>
  <c r="N484" i="1"/>
  <c r="M484" i="1"/>
  <c r="N483" i="1"/>
  <c r="M483" i="1"/>
  <c r="N472" i="1"/>
  <c r="M472" i="1"/>
  <c r="N448" i="1"/>
  <c r="M448" i="1"/>
  <c r="N327" i="1"/>
  <c r="N447" i="1"/>
  <c r="M327" i="1"/>
  <c r="M447" i="1"/>
  <c r="M367" i="1"/>
  <c r="M313" i="1"/>
  <c r="N285" i="1"/>
  <c r="N253" i="1"/>
  <c r="M253" i="1"/>
  <c r="M641" i="1"/>
  <c r="M660" i="1"/>
  <c r="M640" i="1"/>
  <c r="M659" i="1"/>
  <c r="G236" i="1"/>
  <c r="M658" i="1"/>
  <c r="D164" i="1"/>
  <c r="D165" i="1"/>
  <c r="M657" i="1"/>
  <c r="M648" i="1"/>
  <c r="M647" i="1"/>
  <c r="D162" i="1"/>
  <c r="D163" i="1"/>
  <c r="M645" i="1"/>
  <c r="M639" i="1"/>
  <c r="N522" i="1"/>
  <c r="N523" i="1"/>
  <c r="I511" i="1"/>
  <c r="J511" i="1"/>
  <c r="N524" i="1"/>
  <c r="M522" i="1"/>
  <c r="M523" i="1"/>
  <c r="M524" i="1"/>
  <c r="I510" i="1"/>
  <c r="J510" i="1"/>
  <c r="I509" i="1"/>
  <c r="J509" i="1"/>
  <c r="I508" i="1"/>
  <c r="J508" i="1"/>
  <c r="I507" i="1"/>
  <c r="J507" i="1"/>
  <c r="I506" i="1"/>
  <c r="J506" i="1"/>
  <c r="N485" i="1"/>
  <c r="N489" i="1"/>
  <c r="N491" i="1"/>
  <c r="M485" i="1"/>
  <c r="M489" i="1"/>
  <c r="M491" i="1"/>
  <c r="N473" i="1"/>
  <c r="I460" i="1"/>
  <c r="E460" i="1"/>
  <c r="N474" i="1"/>
  <c r="N475" i="1"/>
  <c r="N476" i="1"/>
  <c r="N477" i="1"/>
  <c r="N479" i="1"/>
  <c r="M473" i="1"/>
  <c r="M474" i="1"/>
  <c r="M475" i="1"/>
  <c r="M476" i="1"/>
  <c r="M477" i="1"/>
  <c r="M479" i="1"/>
  <c r="I468" i="1"/>
  <c r="E468" i="1"/>
  <c r="I467" i="1"/>
  <c r="E467" i="1"/>
  <c r="I466" i="1"/>
  <c r="E466" i="1"/>
  <c r="I465" i="1"/>
  <c r="E465" i="1"/>
  <c r="I464" i="1"/>
  <c r="E464" i="1"/>
  <c r="I463" i="1"/>
  <c r="E463" i="1"/>
  <c r="I462" i="1"/>
  <c r="E462" i="1"/>
  <c r="I461" i="1"/>
  <c r="E461" i="1"/>
  <c r="N449" i="1"/>
  <c r="G380" i="1"/>
  <c r="H380" i="1"/>
  <c r="E380" i="1"/>
  <c r="N450" i="1"/>
  <c r="N451" i="1"/>
  <c r="N452" i="1"/>
  <c r="N453" i="1"/>
  <c r="N455" i="1"/>
  <c r="M449" i="1"/>
  <c r="M450" i="1"/>
  <c r="M451" i="1"/>
  <c r="M452" i="1"/>
  <c r="M453" i="1"/>
  <c r="M455" i="1"/>
  <c r="G443" i="1"/>
  <c r="H443" i="1"/>
  <c r="D443" i="1"/>
  <c r="G442" i="1"/>
  <c r="H442" i="1"/>
  <c r="D442" i="1"/>
  <c r="G441" i="1"/>
  <c r="H441" i="1"/>
  <c r="D441" i="1"/>
  <c r="G440" i="1"/>
  <c r="H440" i="1"/>
  <c r="D440" i="1"/>
  <c r="G439" i="1"/>
  <c r="H439" i="1"/>
  <c r="D439" i="1"/>
  <c r="G438" i="1"/>
  <c r="H438" i="1"/>
  <c r="D438" i="1"/>
  <c r="G437" i="1"/>
  <c r="H437" i="1"/>
  <c r="E437" i="1"/>
  <c r="G436" i="1"/>
  <c r="H436" i="1"/>
  <c r="E436" i="1"/>
  <c r="G435" i="1"/>
  <c r="H435" i="1"/>
  <c r="E435" i="1"/>
  <c r="G434" i="1"/>
  <c r="H434" i="1"/>
  <c r="E434" i="1"/>
  <c r="G433" i="1"/>
  <c r="H433" i="1"/>
  <c r="E433" i="1"/>
  <c r="G432" i="1"/>
  <c r="H432" i="1"/>
  <c r="E432" i="1"/>
  <c r="G430" i="1"/>
  <c r="H430" i="1"/>
  <c r="D430" i="1"/>
  <c r="G429" i="1"/>
  <c r="H429" i="1"/>
  <c r="D429" i="1"/>
  <c r="G428" i="1"/>
  <c r="H428" i="1"/>
  <c r="D428" i="1"/>
  <c r="G427" i="1"/>
  <c r="H427" i="1"/>
  <c r="D427" i="1"/>
  <c r="G426" i="1"/>
  <c r="H426" i="1"/>
  <c r="D426" i="1"/>
  <c r="G425" i="1"/>
  <c r="H425" i="1"/>
  <c r="D425" i="1"/>
  <c r="G424" i="1"/>
  <c r="H424" i="1"/>
  <c r="E424" i="1"/>
  <c r="G423" i="1"/>
  <c r="H423" i="1"/>
  <c r="E423" i="1"/>
  <c r="G422" i="1"/>
  <c r="H422" i="1"/>
  <c r="E422" i="1"/>
  <c r="G421" i="1"/>
  <c r="H421" i="1"/>
  <c r="E421" i="1"/>
  <c r="G420" i="1"/>
  <c r="H420" i="1"/>
  <c r="E420" i="1"/>
  <c r="G419" i="1"/>
  <c r="H419" i="1"/>
  <c r="E419" i="1"/>
  <c r="G417" i="1"/>
  <c r="H417" i="1"/>
  <c r="D417" i="1"/>
  <c r="G416" i="1"/>
  <c r="H416" i="1"/>
  <c r="D416" i="1"/>
  <c r="G415" i="1"/>
  <c r="H415" i="1"/>
  <c r="D415" i="1"/>
  <c r="G414" i="1"/>
  <c r="H414" i="1"/>
  <c r="D414" i="1"/>
  <c r="G413" i="1"/>
  <c r="H413" i="1"/>
  <c r="D413" i="1"/>
  <c r="G412" i="1"/>
  <c r="H412" i="1"/>
  <c r="D412" i="1"/>
  <c r="G411" i="1"/>
  <c r="H411" i="1"/>
  <c r="E411" i="1"/>
  <c r="G410" i="1"/>
  <c r="H410" i="1"/>
  <c r="E410" i="1"/>
  <c r="G409" i="1"/>
  <c r="H409" i="1"/>
  <c r="E409" i="1"/>
  <c r="G408" i="1"/>
  <c r="H408" i="1"/>
  <c r="E408" i="1"/>
  <c r="G407" i="1"/>
  <c r="H407" i="1"/>
  <c r="E407" i="1"/>
  <c r="G406" i="1"/>
  <c r="H406" i="1"/>
  <c r="E406" i="1"/>
  <c r="G404" i="1"/>
  <c r="H404" i="1"/>
  <c r="D404" i="1"/>
  <c r="G403" i="1"/>
  <c r="H403" i="1"/>
  <c r="D403" i="1"/>
  <c r="G402" i="1"/>
  <c r="H402" i="1"/>
  <c r="D402" i="1"/>
  <c r="G401" i="1"/>
  <c r="H401" i="1"/>
  <c r="D401" i="1"/>
  <c r="G400" i="1"/>
  <c r="H400" i="1"/>
  <c r="D400" i="1"/>
  <c r="G399" i="1"/>
  <c r="H399" i="1"/>
  <c r="D399" i="1"/>
  <c r="G398" i="1"/>
  <c r="H398" i="1"/>
  <c r="E398" i="1"/>
  <c r="G397" i="1"/>
  <c r="H397" i="1"/>
  <c r="E397" i="1"/>
  <c r="G396" i="1"/>
  <c r="H396" i="1"/>
  <c r="E396" i="1"/>
  <c r="G395" i="1"/>
  <c r="H395" i="1"/>
  <c r="E395" i="1"/>
  <c r="G394" i="1"/>
  <c r="H394" i="1"/>
  <c r="E394" i="1"/>
  <c r="G393" i="1"/>
  <c r="H393" i="1"/>
  <c r="E393" i="1"/>
  <c r="G391" i="1"/>
  <c r="H391" i="1"/>
  <c r="D391" i="1"/>
  <c r="G390" i="1"/>
  <c r="H390" i="1"/>
  <c r="D390" i="1"/>
  <c r="G389" i="1"/>
  <c r="H389" i="1"/>
  <c r="D389" i="1"/>
  <c r="G388" i="1"/>
  <c r="H388" i="1"/>
  <c r="D388" i="1"/>
  <c r="G387" i="1"/>
  <c r="H387" i="1"/>
  <c r="D387" i="1"/>
  <c r="G386" i="1"/>
  <c r="H386" i="1"/>
  <c r="D386" i="1"/>
  <c r="G385" i="1"/>
  <c r="H385" i="1"/>
  <c r="E385" i="1"/>
  <c r="G384" i="1"/>
  <c r="H384" i="1"/>
  <c r="E384" i="1"/>
  <c r="G383" i="1"/>
  <c r="H383" i="1"/>
  <c r="E383" i="1"/>
  <c r="G382" i="1"/>
  <c r="H382" i="1"/>
  <c r="E382" i="1"/>
  <c r="G381" i="1"/>
  <c r="H381" i="1"/>
  <c r="E381" i="1"/>
  <c r="M326" i="1"/>
  <c r="M369" i="1"/>
  <c r="M370" i="1"/>
  <c r="M371" i="1"/>
  <c r="M372" i="1"/>
  <c r="M374" i="1"/>
  <c r="N326" i="1"/>
  <c r="M314" i="1"/>
  <c r="N314" i="1"/>
  <c r="K308" i="1"/>
  <c r="K293" i="1"/>
  <c r="K294" i="1"/>
  <c r="K295" i="1"/>
  <c r="K296" i="1"/>
  <c r="K297" i="1"/>
  <c r="K298" i="1"/>
  <c r="K299" i="1"/>
  <c r="K300" i="1"/>
  <c r="K301" i="1"/>
  <c r="K302" i="1"/>
  <c r="K303" i="1"/>
  <c r="K304" i="1"/>
  <c r="K305" i="1"/>
  <c r="K306" i="1"/>
  <c r="K307" i="1"/>
  <c r="L308" i="1"/>
  <c r="L307" i="1"/>
  <c r="L306" i="1"/>
  <c r="L305" i="1"/>
  <c r="L304" i="1"/>
  <c r="L303" i="1"/>
  <c r="L302" i="1"/>
  <c r="L301" i="1"/>
  <c r="L300" i="1"/>
  <c r="L299" i="1"/>
  <c r="L298" i="1"/>
  <c r="L297" i="1"/>
  <c r="L296" i="1"/>
  <c r="L295" i="1"/>
  <c r="L294" i="1"/>
  <c r="L293" i="1"/>
  <c r="N283" i="1"/>
  <c r="J237" i="1"/>
  <c r="D237" i="1"/>
  <c r="C237" i="1"/>
  <c r="J235" i="1"/>
  <c r="G235" i="1"/>
  <c r="D235" i="1"/>
  <c r="C235" i="1"/>
  <c r="E195" i="1"/>
  <c r="J61" i="1"/>
  <c r="D195" i="1"/>
  <c r="H195" i="1"/>
  <c r="E196" i="1"/>
  <c r="D196" i="1"/>
  <c r="H196" i="1"/>
  <c r="E197" i="1"/>
  <c r="D197" i="1"/>
  <c r="H197" i="1"/>
  <c r="E198" i="1"/>
  <c r="D198" i="1"/>
  <c r="H198" i="1"/>
  <c r="E199" i="1"/>
  <c r="C41" i="1"/>
  <c r="J65" i="1"/>
  <c r="D199" i="1"/>
  <c r="H199" i="1"/>
  <c r="E200" i="1"/>
  <c r="M226" i="1"/>
  <c r="E179" i="1"/>
  <c r="C55" i="1"/>
  <c r="D61" i="1"/>
  <c r="D179" i="1"/>
  <c r="H179" i="1"/>
  <c r="E180" i="1"/>
  <c r="D62" i="1"/>
  <c r="D180" i="1"/>
  <c r="H180" i="1"/>
  <c r="E181" i="1"/>
  <c r="D63" i="1"/>
  <c r="D181" i="1"/>
  <c r="H181" i="1"/>
  <c r="E182" i="1"/>
  <c r="D64" i="1"/>
  <c r="D182" i="1"/>
  <c r="H182" i="1"/>
  <c r="E65" i="1"/>
  <c r="E183" i="1"/>
  <c r="D65" i="1"/>
  <c r="D183" i="1"/>
  <c r="H183" i="1"/>
  <c r="E184" i="1"/>
  <c r="M224" i="1"/>
  <c r="D203" i="1"/>
  <c r="C203" i="1"/>
  <c r="F203" i="1"/>
  <c r="E203" i="1"/>
  <c r="G203" i="1"/>
  <c r="D204" i="1"/>
  <c r="C204" i="1"/>
  <c r="F204" i="1"/>
  <c r="E204" i="1"/>
  <c r="G204" i="1"/>
  <c r="D205" i="1"/>
  <c r="C205" i="1"/>
  <c r="F205" i="1"/>
  <c r="E205" i="1"/>
  <c r="G205" i="1"/>
  <c r="D206" i="1"/>
  <c r="C206" i="1"/>
  <c r="F206" i="1"/>
  <c r="E206" i="1"/>
  <c r="G206" i="1"/>
  <c r="D207" i="1"/>
  <c r="C207" i="1"/>
  <c r="F207" i="1"/>
  <c r="E207" i="1"/>
  <c r="G207" i="1"/>
  <c r="G208" i="1"/>
  <c r="E208" i="1"/>
  <c r="M215" i="1"/>
  <c r="I61" i="1"/>
  <c r="C195" i="1"/>
  <c r="F195" i="1"/>
  <c r="G195" i="1"/>
  <c r="C196" i="1"/>
  <c r="F196" i="1"/>
  <c r="G196" i="1"/>
  <c r="C197" i="1"/>
  <c r="F197" i="1"/>
  <c r="G197" i="1"/>
  <c r="C198" i="1"/>
  <c r="F198" i="1"/>
  <c r="G198" i="1"/>
  <c r="I65" i="1"/>
  <c r="C199" i="1"/>
  <c r="F199" i="1"/>
  <c r="G199" i="1"/>
  <c r="G200" i="1"/>
  <c r="M214" i="1"/>
  <c r="C61" i="1"/>
  <c r="C179" i="1"/>
  <c r="F179" i="1"/>
  <c r="G179" i="1"/>
  <c r="C62" i="1"/>
  <c r="C180" i="1"/>
  <c r="F180" i="1"/>
  <c r="G180" i="1"/>
  <c r="B51" i="1"/>
  <c r="C63" i="1"/>
  <c r="C181" i="1"/>
  <c r="F181" i="1"/>
  <c r="G181" i="1"/>
  <c r="B48" i="1"/>
  <c r="C64" i="1"/>
  <c r="C182" i="1"/>
  <c r="F182" i="1"/>
  <c r="G182" i="1"/>
  <c r="B46" i="1"/>
  <c r="C65" i="1"/>
  <c r="C183" i="1"/>
  <c r="F183" i="1"/>
  <c r="G183" i="1"/>
  <c r="G184" i="1"/>
  <c r="M212" i="1"/>
  <c r="D208" i="1"/>
  <c r="C208" i="1"/>
  <c r="F208" i="1"/>
  <c r="H207" i="1"/>
  <c r="H206" i="1"/>
  <c r="H205" i="1"/>
  <c r="H204" i="1"/>
  <c r="H203" i="1"/>
  <c r="J66" i="1"/>
  <c r="D200" i="1"/>
  <c r="I66" i="1"/>
  <c r="C200" i="1"/>
  <c r="F200" i="1"/>
  <c r="D192" i="1"/>
  <c r="F66" i="1"/>
  <c r="C192" i="1"/>
  <c r="F192" i="1"/>
  <c r="C42" i="1"/>
  <c r="D66" i="1"/>
  <c r="D184" i="1"/>
  <c r="C184" i="1"/>
  <c r="F184" i="1"/>
  <c r="N171" i="1"/>
  <c r="F164" i="1"/>
  <c r="F165" i="1"/>
  <c r="E164" i="1"/>
  <c r="E165" i="1"/>
  <c r="C164" i="1"/>
  <c r="C165" i="1"/>
  <c r="F162" i="1"/>
  <c r="F163" i="1"/>
  <c r="E162" i="1"/>
  <c r="E163" i="1"/>
  <c r="C162" i="1"/>
  <c r="C163" i="1"/>
  <c r="F156" i="1"/>
  <c r="E156" i="1"/>
  <c r="C156" i="1"/>
  <c r="F112" i="1"/>
  <c r="D98" i="1"/>
  <c r="E112" i="1"/>
  <c r="D112" i="1"/>
  <c r="C112" i="1"/>
  <c r="F111" i="1"/>
  <c r="B77" i="1"/>
  <c r="E111" i="1"/>
  <c r="D111" i="1"/>
  <c r="C111" i="1"/>
  <c r="F110" i="1"/>
  <c r="E110" i="1"/>
  <c r="D110" i="1"/>
  <c r="C110" i="1"/>
  <c r="F109" i="1"/>
  <c r="E109" i="1"/>
  <c r="D109" i="1"/>
  <c r="C109" i="1"/>
  <c r="F108" i="1"/>
  <c r="E108" i="1"/>
  <c r="D108" i="1"/>
  <c r="C108" i="1"/>
  <c r="F107" i="1"/>
  <c r="E107" i="1"/>
  <c r="D107" i="1"/>
  <c r="C107" i="1"/>
  <c r="D100" i="1"/>
  <c r="D99" i="1"/>
  <c r="C54" i="1"/>
  <c r="C49" i="1"/>
  <c r="C47" i="1"/>
  <c r="B47" i="1"/>
  <c r="B44" i="1"/>
  <c r="C43" i="1"/>
  <c r="M116" i="1"/>
  <c r="M122" i="1"/>
  <c r="M118" i="1"/>
  <c r="M124" i="1"/>
  <c r="M119" i="1"/>
  <c r="M125" i="1"/>
  <c r="M317" i="1"/>
  <c r="M318" i="1"/>
  <c r="M319" i="1"/>
  <c r="N321" i="1"/>
  <c r="M321" i="1"/>
  <c r="M497" i="1"/>
  <c r="M117" i="1"/>
  <c r="M123" i="1"/>
  <c r="M128" i="1"/>
  <c r="M129" i="1"/>
  <c r="M637" i="1"/>
  <c r="M656" i="1"/>
  <c r="M588" i="1"/>
  <c r="M609" i="1"/>
  <c r="M661" i="1"/>
  <c r="M664" i="1"/>
  <c r="M665" i="1"/>
  <c r="M644" i="1"/>
  <c r="M616" i="1"/>
  <c r="M649" i="1"/>
  <c r="M652" i="1"/>
  <c r="M653" i="1"/>
</calcChain>
</file>

<file path=xl/sharedStrings.xml><?xml version="1.0" encoding="utf-8"?>
<sst xmlns="http://schemas.openxmlformats.org/spreadsheetml/2006/main" count="1040" uniqueCount="609">
  <si>
    <t>Supplemental worksheet: Embodied emissions</t>
  </si>
  <si>
    <t>1   Material GHG intensities</t>
  </si>
  <si>
    <t>User</t>
  </si>
  <si>
    <t>Default</t>
  </si>
  <si>
    <t>User reference</t>
  </si>
  <si>
    <t>Default reference</t>
  </si>
  <si>
    <t>1.1 Include embodied emissions? (1=yes, 0=no)</t>
  </si>
  <si>
    <t>1.3 GHG and energy intensities of materials (choose input dataset above)</t>
  </si>
  <si>
    <t>Material</t>
  </si>
  <si>
    <t>Embodied energy (mmBtu/lb)</t>
  </si>
  <si>
    <t>Barite</t>
  </si>
  <si>
    <t>Bentonite clay</t>
  </si>
  <si>
    <t>Portland cement</t>
  </si>
  <si>
    <t>Sand</t>
  </si>
  <si>
    <t>Steel, low alloy</t>
  </si>
  <si>
    <t>Steel, unalloyed</t>
  </si>
  <si>
    <t>Iron ore (hematite)</t>
  </si>
  <si>
    <t>1.4 Density of steel</t>
  </si>
  <si>
    <r>
      <t>lb/in</t>
    </r>
    <r>
      <rPr>
        <vertAlign val="superscript"/>
        <sz val="12"/>
        <color theme="1"/>
        <rFont val="Helvetica"/>
      </rPr>
      <t>3</t>
    </r>
  </si>
  <si>
    <t>From Mitchell (2006) central estimate for tabulated steel casing weights.  See Table 7.10</t>
  </si>
  <si>
    <t>2   Wellbore construction</t>
  </si>
  <si>
    <t>2.1   General wellbore design</t>
  </si>
  <si>
    <t>2.1.1  Casing thickness (1 = thin, 2 = average, 3 = thick)</t>
  </si>
  <si>
    <t>2.1.2  Casing complexity (0 = user defined, 1 = simple well, 2 = moderate well, 3 = complex well)</t>
  </si>
  <si>
    <t>2.1.2  Cemeting design (1 = min cement, 2= moderate cement, 3 = max cement)</t>
  </si>
  <si>
    <t>2.1.3  Cement properties (1 = low density, 2 = moderate density, 3 = high density, 4 = high strength)</t>
  </si>
  <si>
    <t>2.2   Casing sizing and design</t>
  </si>
  <si>
    <t>2.2.1 Casing and hole diameters for generic small and large diameter wellbores</t>
  </si>
  <si>
    <t>Diameters</t>
  </si>
  <si>
    <t xml:space="preserve">Notes: </t>
  </si>
  <si>
    <t>Casing diam</t>
  </si>
  <si>
    <t>Hole diam</t>
  </si>
  <si>
    <t>Diameters from Mitchell and Miska (2011), Figure 7.18</t>
  </si>
  <si>
    <t>No hole diameter given for 24 or 30 inch conductor casing, so we assume 6 inch excess as for 20 inch casing</t>
  </si>
  <si>
    <t>Only commonly used bit sizes for each casing size are selected</t>
  </si>
  <si>
    <t>Smallest of commonly used bit sizes are used.</t>
  </si>
  <si>
    <t>2.2.2 Default casing designs used in calculations</t>
  </si>
  <si>
    <t>Complex well</t>
  </si>
  <si>
    <t>Moderate well (default)</t>
  </si>
  <si>
    <t>Simple well</t>
  </si>
  <si>
    <t>User-defined well</t>
  </si>
  <si>
    <t>Casing section</t>
  </si>
  <si>
    <t>Casing diam (in)</t>
  </si>
  <si>
    <t>Hole diam (in)</t>
  </si>
  <si>
    <t>Length (ft)</t>
  </si>
  <si>
    <t>Complex well design is from Mitchell and Miska (2011), Figure 7.1, for deepwater GOM well</t>
  </si>
  <si>
    <t>Conductor 1</t>
  </si>
  <si>
    <t>Moderate well design is is from Nguyen, J.P. Drilling (1996) Oil and Gas Field Development Techniques, p. 37 for Parentis oil field, modified to recognize OPGEE default.</t>
  </si>
  <si>
    <t>Conductor 2</t>
  </si>
  <si>
    <t>Simple well design is from Nguyen, J.P. Drilling (1996) Oil and Gas Field Development Techniques, p. 37, for Villipuerde oil field.</t>
  </si>
  <si>
    <t>Surface casing</t>
  </si>
  <si>
    <t>Intermediate casing</t>
  </si>
  <si>
    <t>Production casing</t>
  </si>
  <si>
    <t>Production tubing</t>
  </si>
  <si>
    <t>2.3   Steel casing</t>
  </si>
  <si>
    <t>2.3.1 Steel casing mass per unit length (US units)</t>
  </si>
  <si>
    <t>Outside diam (in)</t>
  </si>
  <si>
    <t>Mass of steel per unit length (lbm/ft)</t>
  </si>
  <si>
    <t>Notes:</t>
  </si>
  <si>
    <t>Min</t>
  </si>
  <si>
    <t>Average</t>
  </si>
  <si>
    <t>Max</t>
  </si>
  <si>
    <t>Data from Mitchell, ed. (2006) Petroleum Engineering Handbook, Volume II: Drilling Engineering, Table 7.10</t>
  </si>
  <si>
    <t>Data are max, min, and average of between 1 and 10 inner diameters for each outer diameter</t>
  </si>
  <si>
    <t>For sizes where steel mass/length is unavailable, specific mass of 0.3 lbm/in3 is assumed.</t>
  </si>
  <si>
    <t>No data available on inner diameter of 30 inch conductor casing, so data from GE used. Wall thickness ranges from 5/8 in to 1.5 in for oilfield service.  http://site.ge-energy.com/businesses/ge_oilandgas/en/literature/en/downloads/specialty_connectors_pipe.pdf</t>
  </si>
  <si>
    <t>Only one thickness available for 18.625 and 20 in OD conductor casing</t>
  </si>
  <si>
    <t>2.3.2 Production tubing mass per unit length</t>
  </si>
  <si>
    <t>Nominal diam (in.)</t>
  </si>
  <si>
    <t>Production tubing from API Tubing Table (www.oilproduction.net)</t>
  </si>
  <si>
    <t>For production tubing, many grades have same weight</t>
  </si>
  <si>
    <t>Therefore, we use the single reported value, or average high and low directly</t>
  </si>
  <si>
    <t>2.3.3  Mass of casing per well length (lbm/ft)</t>
  </si>
  <si>
    <t>2.3.4  Mass of steel required</t>
  </si>
  <si>
    <t>Units</t>
  </si>
  <si>
    <t>2.3.4.1 Complex well</t>
  </si>
  <si>
    <t>NA</t>
  </si>
  <si>
    <t>lb</t>
  </si>
  <si>
    <t>2.3.4.2 Moderate well (default)</t>
  </si>
  <si>
    <t>2.3.4.3 Simple well</t>
  </si>
  <si>
    <t>2.3.4.4 User-defined well</t>
  </si>
  <si>
    <t>2.3.5  Length-specific mass of steel required</t>
  </si>
  <si>
    <t>2.3.5.1 Complex well</t>
  </si>
  <si>
    <t>lb/ft</t>
  </si>
  <si>
    <t>2.3.5.2 Moderate well (default)</t>
  </si>
  <si>
    <t>2.3.5.3 Simple well</t>
  </si>
  <si>
    <t>2.3.5.4 User-defined well</t>
  </si>
  <si>
    <t>2.3.6 Mass of steel required</t>
  </si>
  <si>
    <t>2.3.6.1 Mass of steel required for oil production wells</t>
  </si>
  <si>
    <t>lb steel per field</t>
  </si>
  <si>
    <t>2.3.6.2 Mass of steel required for water reinjection wells</t>
  </si>
  <si>
    <t>2.4   Cement</t>
  </si>
  <si>
    <t>2.4.1 Cement properties table</t>
  </si>
  <si>
    <t>Cement type:</t>
  </si>
  <si>
    <t>Low density</t>
  </si>
  <si>
    <t>Moderate density</t>
  </si>
  <si>
    <t>High density</t>
  </si>
  <si>
    <t>High strength</t>
  </si>
  <si>
    <t>Additives:</t>
  </si>
  <si>
    <t>16% bentonite, 5% sodium chloride</t>
  </si>
  <si>
    <t>3% bentonite</t>
  </si>
  <si>
    <t>5% hematite</t>
  </si>
  <si>
    <t>2% calcium chloride</t>
  </si>
  <si>
    <t>Data from Mitchell and Miska (2011), Fundamentals of Drilling Engineering</t>
  </si>
  <si>
    <t>lb/sack of cement</t>
  </si>
  <si>
    <t>Data on water content from Mitchell and Miska (2011) Table 4.2 for API Class A cement</t>
  </si>
  <si>
    <t xml:space="preserve">  - Class A cement</t>
  </si>
  <si>
    <t>Data on bulk weight, specific gravity, and absolute volumes for different additives from Mitchell and Miska (2011), Table 4.4 for various additives</t>
  </si>
  <si>
    <t xml:space="preserve">  - Bentonite</t>
  </si>
  <si>
    <t>Data on water requirements of additives from Mitchell and Miska (2011), Table 4.5</t>
  </si>
  <si>
    <t xml:space="preserve">  - Hematite</t>
  </si>
  <si>
    <t>Data on properties of additives from Mitchell and Miska (2011), Table 4.7</t>
  </si>
  <si>
    <t xml:space="preserve">  - Calcium chloride</t>
  </si>
  <si>
    <t>Moderate density cement composition and calculations based on Mitchell and Miska (2011), Example 4.3</t>
  </si>
  <si>
    <t xml:space="preserve">  - Sodium chloride</t>
  </si>
  <si>
    <t>High density cement composition and calculations based on Mitchell and Miska (2011), Example 4.4</t>
  </si>
  <si>
    <t xml:space="preserve">  - Water</t>
  </si>
  <si>
    <t>Low density cement composition and calculations based on Mitchell and Miska (2011), Example 4.5</t>
  </si>
  <si>
    <t>High strength cement composition and calculations based on Mitchell and Miska (2011), Example 4.5</t>
  </si>
  <si>
    <t>kg/kg slurry</t>
  </si>
  <si>
    <t>Slurry density</t>
  </si>
  <si>
    <t xml:space="preserve"> - lb/gal</t>
  </si>
  <si>
    <t xml:space="preserve"> - lb/ft3</t>
  </si>
  <si>
    <t xml:space="preserve"> - kg/l</t>
  </si>
  <si>
    <t>Slurry yield</t>
  </si>
  <si>
    <t xml:space="preserve"> - ft3/sack cement</t>
  </si>
  <si>
    <t xml:space="preserve"> - l/kg cement</t>
  </si>
  <si>
    <t>Carbon intensity (gCO2/sack)</t>
  </si>
  <si>
    <t>Carbon intenisty (gCO2/ft3)</t>
  </si>
  <si>
    <t>Energy intensity (mmBtu/sack)</t>
  </si>
  <si>
    <t>Energy intenisty (mmBtu/ft3)</t>
  </si>
  <si>
    <t>2.4.2 Cement fill-up (vertical)</t>
  </si>
  <si>
    <t>2.4.2.1  Minimum cement fill up (vertical) for each casing string</t>
  </si>
  <si>
    <t>ft</t>
  </si>
  <si>
    <t>Mitchell and Miska (2011), section 4.5.11</t>
  </si>
  <si>
    <t>2.4.2.2  Maximum cement fill up (vertical) for each casing string</t>
  </si>
  <si>
    <t>Total length</t>
  </si>
  <si>
    <t>2.4.2.3  Default cement fill up (vertical) for each casing string</t>
  </si>
  <si>
    <t>Assume additional 300 feet safety factor</t>
  </si>
  <si>
    <t>2.4.3 Cement excess factor to account for drilling enlargement and cement infilitration</t>
  </si>
  <si>
    <t>Mitchell and Miska (2011), Example 4.5</t>
  </si>
  <si>
    <t>2.4.4 Cement volumes required (edit well casing diameters and depths above)</t>
  </si>
  <si>
    <t>Volume of void space (ft3/ft)</t>
  </si>
  <si>
    <t>Volume of cement required (ft3)</t>
  </si>
  <si>
    <t>Volume of wellbore (ft3)</t>
  </si>
  <si>
    <t>See documentation for assumptions regarding cementing design.</t>
  </si>
  <si>
    <t>Conductor and surface casing assumed cemented along entire length to protect groundwater</t>
  </si>
  <si>
    <t>All other casing assumed cemented as given cement fill-up assumptions above</t>
  </si>
  <si>
    <t>Production tubing assumed in open hole</t>
  </si>
  <si>
    <t>Moderate well</t>
  </si>
  <si>
    <t>2.4.5 Length-specific cement volumes required</t>
  </si>
  <si>
    <t>2.4.5.1 Complex well</t>
  </si>
  <si>
    <t>2.4.5.2 Moderate well</t>
  </si>
  <si>
    <t>2.4.5.3 Simple well</t>
  </si>
  <si>
    <t>2.4.5.4 User-defined well</t>
  </si>
  <si>
    <t>2.4.6 Volume of cement required</t>
  </si>
  <si>
    <t>2.4.6.1 Volume of cement required for production wells</t>
  </si>
  <si>
    <r>
      <t>ft</t>
    </r>
    <r>
      <rPr>
        <vertAlign val="superscript"/>
        <sz val="12"/>
        <color theme="1"/>
        <rFont val="Helvetica"/>
      </rPr>
      <t>3</t>
    </r>
  </si>
  <si>
    <t>2.4.6.2 Volume of cement required for water injection wells</t>
  </si>
  <si>
    <t>2.5 Drilling mud</t>
  </si>
  <si>
    <t>2.5.1 Maximum volume of mud required (multiple of full wellbore volume)</t>
  </si>
  <si>
    <t>-</t>
  </si>
  <si>
    <t>While wellbore will be partially filled with drillstring, we assume that the maximum mud volume required is equal to total wellbore volume due to mud infiltration and mud tank volumes</t>
  </si>
  <si>
    <t>2.5.2 Length specific volumes of mud required</t>
  </si>
  <si>
    <t>2.5.2.1 Complex well</t>
  </si>
  <si>
    <t>2.5.2.2 Moderate well</t>
  </si>
  <si>
    <t>2.5.2.3 Simple well</t>
  </si>
  <si>
    <t>2.5.2.4 User-defined well</t>
  </si>
  <si>
    <t>2.5.3 Total volume of mud required (gal)</t>
  </si>
  <si>
    <t>2.5.3.1 Volume of mud required for production wells</t>
  </si>
  <si>
    <r>
      <t xml:space="preserve">ft3 per field </t>
    </r>
    <r>
      <rPr>
        <vertAlign val="superscript"/>
        <sz val="12"/>
        <color theme="1"/>
        <rFont val="Helvetica"/>
      </rPr>
      <t xml:space="preserve"> </t>
    </r>
  </si>
  <si>
    <t>2.5.3.2 Volume of mud required for injection wells</t>
  </si>
  <si>
    <t>2.5.4 Mud properties</t>
  </si>
  <si>
    <t>Mud type</t>
  </si>
  <si>
    <t>Mud density</t>
  </si>
  <si>
    <t>Water</t>
  </si>
  <si>
    <t>Bentonite</t>
  </si>
  <si>
    <t>[-]</t>
  </si>
  <si>
    <t>lb/gallon drilling fluid</t>
  </si>
  <si>
    <t>lb per gallon drilling fluid</t>
  </si>
  <si>
    <t>Volume per gallon water (gal)</t>
  </si>
  <si>
    <t>Density (lb/gal)</t>
  </si>
  <si>
    <t>Mud ingredient properties from Mian (1992), Table 8-19</t>
  </si>
  <si>
    <t>Light</t>
  </si>
  <si>
    <t>Mud density calculation from Mian (1992, ch. 8)</t>
  </si>
  <si>
    <t>Medium</t>
  </si>
  <si>
    <t>Heavy</t>
  </si>
  <si>
    <t>2.5.6 Mass of mud required</t>
  </si>
  <si>
    <t>lb per field</t>
  </si>
  <si>
    <t>2.5.6.1 Mass of water required</t>
  </si>
  <si>
    <t>2.5.6.2 Mass of bentonite clay required</t>
  </si>
  <si>
    <t>2.6   Fracturing materials</t>
  </si>
  <si>
    <t>2.6.1 Are the production wells fractured (1=yes, 0=no)</t>
  </si>
  <si>
    <t>2.6.2 Fracturing water requirements per well</t>
  </si>
  <si>
    <t>gallon/well</t>
  </si>
  <si>
    <t>From Brandt et al. (2015) study of Bakken wells. Median well is 2.2 million gallons of water per well.</t>
  </si>
  <si>
    <t>2.6.3 Fracturing water requirements (field, lbs)</t>
  </si>
  <si>
    <t>lb water per field</t>
  </si>
  <si>
    <t>2.6.3 Sand consumption per unit fracturing water</t>
  </si>
  <si>
    <t>lb sand/gallon water</t>
  </si>
  <si>
    <t>From Brandt et al. (2015) study of Bakken wells. Median well consumes 2.5 million lbs of sand.</t>
  </si>
  <si>
    <t>2.6.4 Sand consumption (field)</t>
  </si>
  <si>
    <t>lb sand per field</t>
  </si>
  <si>
    <t>3   Production and surface processing facilities</t>
  </si>
  <si>
    <t>3.1 Surface tubing properties</t>
  </si>
  <si>
    <t>Pipe nominal diam.</t>
  </si>
  <si>
    <t>Std. strength (lb/ft)</t>
  </si>
  <si>
    <t>Extra-strengh (lb/ft)</t>
  </si>
  <si>
    <t>From "Oilfield data handbook", Apex Distribution Inc.</t>
  </si>
  <si>
    <t>Data for pipe weight be line foot, p. 26.</t>
  </si>
  <si>
    <t>See: http://www.monarchapex.com/pdf/Oilfield%20Data%20Handbook.pdf</t>
  </si>
  <si>
    <t>3.2 Surface tubing per well (within site, not gathering network)</t>
  </si>
  <si>
    <t>3.2.1 Average diameter of surface tubing</t>
  </si>
  <si>
    <t>in.</t>
  </si>
  <si>
    <t>3.2.2 Tubing strength (1 = std., 2 = extra strength)</t>
  </si>
  <si>
    <t>3.2.3 Weight per foot of tubing (lb)</t>
  </si>
  <si>
    <t>3.2.4 Average length of surface tubing per well (production or injection)</t>
  </si>
  <si>
    <t>ft/well</t>
  </si>
  <si>
    <t>3.2.5 Mass of surface tubing</t>
  </si>
  <si>
    <t>3.3 Mass of separators</t>
  </si>
  <si>
    <t>3.3.1 Tabulated capacities and weights of horizontal 3-phase, high pressure separators</t>
  </si>
  <si>
    <t>Working pressure</t>
  </si>
  <si>
    <t>Liquid</t>
  </si>
  <si>
    <t>Gas Capacity (MMSCFD @ given pressure)</t>
  </si>
  <si>
    <t>Weight</t>
  </si>
  <si>
    <t>How many  separators needed?</t>
  </si>
  <si>
    <t>Purchase this type?</t>
  </si>
  <si>
    <t>Size</t>
  </si>
  <si>
    <t>psig</t>
  </si>
  <si>
    <t>Capacity</t>
  </si>
  <si>
    <t>(lb)</t>
  </si>
  <si>
    <t>bbl/d</t>
  </si>
  <si>
    <t>24" OD x 10'</t>
  </si>
  <si>
    <t>36" OD x 10'</t>
  </si>
  <si>
    <t>42" OD x 10'</t>
  </si>
  <si>
    <t>48" OD x 10'</t>
  </si>
  <si>
    <t>Notes: From http://www.surfaceequip.com/two-three-phase-vertical-horizontal-separators-gas-scrubbers.html, accessed April 21, 2014</t>
  </si>
  <si>
    <t>We assume that it is cheapest to buy a smaller number of larger separators</t>
  </si>
  <si>
    <t>3.3.2 Wellhead pressure</t>
  </si>
  <si>
    <t>3.3.2 Selected wellhead pressure</t>
  </si>
  <si>
    <t>3.3.3 Liquid production rate</t>
  </si>
  <si>
    <t>bbl liquid per day</t>
  </si>
  <si>
    <t>3.3.4 Gas production rate</t>
  </si>
  <si>
    <t>mmscf/d</t>
  </si>
  <si>
    <t>3.3.5 Gas capacity per separator</t>
  </si>
  <si>
    <t>3.3.6 Total gas throughput</t>
  </si>
  <si>
    <t>3.3.7 Enough gas processing capacity? (if error, manually increse number of separators required)</t>
  </si>
  <si>
    <t>3.3.8 Multiplier for additional material associated with separators</t>
  </si>
  <si>
    <t>lbm total mass per lbm separator</t>
  </si>
  <si>
    <t>3.3.8 Mass of separators</t>
  </si>
  <si>
    <t>lbm steel per field</t>
  </si>
  <si>
    <t>3.4 Mass of gas sweetening equipment</t>
  </si>
  <si>
    <t>3.4.1 Contact tower height</t>
  </si>
  <si>
    <t>ft.</t>
  </si>
  <si>
    <t>Manning and Thompson (1991, vol 1) p. 116. Typically 20 trays, spaced 18 to 24 inches. Assume 20 trays at 18 inches.</t>
  </si>
  <si>
    <t>3.4.2 Gas flow rate</t>
  </si>
  <si>
    <t>MMscf/d</t>
  </si>
  <si>
    <t>3.4.2 Contact tower diameter</t>
  </si>
  <si>
    <t>Gas flow rate (MMscf/d)</t>
  </si>
  <si>
    <t>ID (in.)</t>
  </si>
  <si>
    <t>Data from Manning and Thompson (1991), derived from Khan and Manning (1985)</t>
  </si>
  <si>
    <t>3.4.4 Graphical relationship between gas flow rate and required absorber diameter</t>
  </si>
  <si>
    <t>3.4.5 Required inner diameter</t>
  </si>
  <si>
    <t>3.4.6 Assumed steel diameter</t>
  </si>
  <si>
    <t>3.4.7 Area of shell</t>
  </si>
  <si>
    <r>
      <t>ft</t>
    </r>
    <r>
      <rPr>
        <vertAlign val="superscript"/>
        <sz val="12"/>
        <color theme="1"/>
        <rFont val="Helvetica"/>
      </rPr>
      <t>2</t>
    </r>
  </si>
  <si>
    <t>3.4.8 Mass of absorber shell</t>
  </si>
  <si>
    <t>lbm</t>
  </si>
  <si>
    <t>Use steel density from API spec 12F, scaled to thickness of absorber. See below.</t>
  </si>
  <si>
    <t>3.4.9 Mass of absorber trays and auxilliary piping</t>
  </si>
  <si>
    <t>Assume auxiiary piping, trays, and other materials weigh as much as the shell.</t>
  </si>
  <si>
    <t>3.4.10 Mass of desorber</t>
  </si>
  <si>
    <t>No relations found for sizing desorber. Assume weighs as much as the absortion unit and auxilliary systems.</t>
  </si>
  <si>
    <t>3.4.11 Ancillary materials factor</t>
  </si>
  <si>
    <t>lbm/lbm</t>
  </si>
  <si>
    <t>3.4.12 Total mass of gas sweetening equipment</t>
  </si>
  <si>
    <t>lbm per field</t>
  </si>
  <si>
    <t>3.5 Mass of glycol dehydration unit</t>
  </si>
  <si>
    <t>3.5.1 Tabulated capacities and dimensions of vertical, trayed absorbtion towers</t>
  </si>
  <si>
    <t>Pressure (psig)</t>
  </si>
  <si>
    <t>Throughput (MMSCF/d)</t>
  </si>
  <si>
    <t>OD (in.)</t>
  </si>
  <si>
    <t>Height (ft.)</t>
  </si>
  <si>
    <t>Estimated thickness</t>
  </si>
  <si>
    <t>Rounded thickness</t>
  </si>
  <si>
    <t>Data for absorber tower sizing from Exterran, glycol dehydrator vendor. http://www.exterran.com/Content/Docs/Products/Glycol-Dehydration-Unit-English-Letter.pdf</t>
  </si>
  <si>
    <t>Outer diameters given for sizes 16-42 in. Inner diameters given for sizes 36-72 in.</t>
  </si>
  <si>
    <t>Wall thickness estimated using ANSI/ASME Standard B31.3 (Arnold 2006, eq. 9.27).  This standard is for high pressure pipe, but we assume it holds for glycol absorption towers.</t>
  </si>
  <si>
    <t>Wall thickness assumptions include: corrosion allowance 0.05 in, thread depth 0.1 in, allowable stress for pipe for API 5L pipe, Grade B @650 F, weld factor = 1 (seamless) derating factor = 0.4, manufacturers tolerance 12.5%</t>
  </si>
  <si>
    <t>Wall thickness rounded up to nearest 0.1 in.</t>
  </si>
  <si>
    <t>Column heights estimated. Exterran shows 29ft high absoprtion column for 500 Mbtu/hr unit.</t>
  </si>
  <si>
    <t>Notes</t>
  </si>
  <si>
    <t>3.5.2 Required gas throughput</t>
  </si>
  <si>
    <t>From gas balance sheet</t>
  </si>
  <si>
    <t>3.5.3 Required gas treatment pressure</t>
  </si>
  <si>
    <t>Assume pressure is same as pressure in amine gas sweeteing unit</t>
  </si>
  <si>
    <t>3.5.4 Outer diameter of unit</t>
  </si>
  <si>
    <t>3.5.5 Inner diameter of unit</t>
  </si>
  <si>
    <t>3.5.6 Height of unit</t>
  </si>
  <si>
    <t>3.4.7 Volume of steel required for shell</t>
  </si>
  <si>
    <r>
      <t>in</t>
    </r>
    <r>
      <rPr>
        <vertAlign val="superscript"/>
        <sz val="12"/>
        <color theme="1"/>
        <rFont val="Helvetica"/>
      </rPr>
      <t>3</t>
    </r>
  </si>
  <si>
    <t>3.5.8 Additional steel for trays, piping, support, etc.</t>
  </si>
  <si>
    <t>Assume trays etc. are equal to shell mass.</t>
  </si>
  <si>
    <t>3.5.9 Ancillary materials factor</t>
  </si>
  <si>
    <t>Assume double mass for ancillary requirements.</t>
  </si>
  <si>
    <t>3.5.10 Mass of steel for absorption unit</t>
  </si>
  <si>
    <t>3.5.11 Tabulated glycol reboiler specifications</t>
  </si>
  <si>
    <t>Glycol circulation rate (gal/h, above this rate)</t>
  </si>
  <si>
    <t>Firetube rating</t>
  </si>
  <si>
    <t>Reboiler OD (in.)</t>
  </si>
  <si>
    <t>Reboiler ID (in.)</t>
  </si>
  <si>
    <t>Reboiler length (ft.)</t>
  </si>
  <si>
    <t>Skid width (ft)</t>
  </si>
  <si>
    <t>Skid length (ft)</t>
  </si>
  <si>
    <t>Thickness (in.)</t>
  </si>
  <si>
    <t>Data for regenerator sizing from Exterran, glycol dehydrator vendor. http://www.exterran.com/Content/Docs/Products/Glycol-Dehydration-Unit-English-Letter.pdf</t>
  </si>
  <si>
    <t>Wall thickness estimated using ANSI/ASME Standard B31.3 (Arnold 2006, eq. 9.27).  This standard is for high pressure pipe, but we assume it holds for glycol desorbtion towers.</t>
  </si>
  <si>
    <t>Wall thickness assumptions include: corrosion allowance 0.05 in, thread depth 0.1 in, allowable stress for pipe for API 5L pipe, Grade B @650 F, weld factor = 1 (seamless) derating factor = 0.4, manufacturers tolerance 12.5%. Assume rated for 1000 psig max operating pressure.</t>
  </si>
  <si>
    <t>3.5.12 Required TEG circulation rate</t>
  </si>
  <si>
    <t>gal TEG/h</t>
  </si>
  <si>
    <t>3.5.13 Reboiler OD</t>
  </si>
  <si>
    <t>3.5.14 Reboiler ID</t>
  </si>
  <si>
    <t>3.5.15 Reboiler length</t>
  </si>
  <si>
    <t>3.5.16 Volume of steel required for shell</t>
  </si>
  <si>
    <t>3.5.17 Volume of steel required for piping, support, exhaust, skid, etc.</t>
  </si>
  <si>
    <t>3.5.18 Ancillary materials factor</t>
  </si>
  <si>
    <t>3.5.18 Mass of steel for regeneration unit</t>
  </si>
  <si>
    <t>3.8 Gas compression</t>
  </si>
  <si>
    <t>3.8.1 Gas injection compressor horsepower requirements</t>
  </si>
  <si>
    <t>bhp</t>
  </si>
  <si>
    <t>3.8.2 Gas injection compressor volumes</t>
  </si>
  <si>
    <t>3.8.3 Gas injection compressor weight</t>
  </si>
  <si>
    <t>3.8.4 Auxiliary materials factor</t>
  </si>
  <si>
    <t>lb/lb</t>
  </si>
  <si>
    <t>3.8.5 Gas lifting compressor horsepower requirements</t>
  </si>
  <si>
    <t>3.8.6 Gas lifting compressor volumes</t>
  </si>
  <si>
    <t>3.8.7 Gas lifting compressor weight</t>
  </si>
  <si>
    <t>3.8.8 Auxiliary materials factor</t>
  </si>
  <si>
    <t>3.8.9 Total compressor mass of steel</t>
  </si>
  <si>
    <t>3.7 Other processing equipment</t>
  </si>
  <si>
    <t>3.5.1 Assumed multiplier for small equipment and equipment not modeled.</t>
  </si>
  <si>
    <t>We know that we are not accounting for all equipment, so add factor to be conservative.</t>
  </si>
  <si>
    <t>3.6 Estimated mass of steel in surface processing facilities</t>
  </si>
  <si>
    <t>4  Ancillary structures and construction</t>
  </si>
  <si>
    <t>4.1 Crude oil and produced water storage</t>
  </si>
  <si>
    <t>4.1.1 API Standard 12F storage tank dimensions and steel thickness</t>
  </si>
  <si>
    <t>Capacity (bbl)</t>
  </si>
  <si>
    <t>Height (ft)</t>
  </si>
  <si>
    <t>Outside diameter (ft)</t>
  </si>
  <si>
    <t>Top/bottom thickness (in)</t>
  </si>
  <si>
    <t>Shell thickness (in)</t>
  </si>
  <si>
    <t>Steel weight per area (lb/ft2)</t>
  </si>
  <si>
    <t>Area of tank (ft2)</t>
  </si>
  <si>
    <t>Weight of tank (lb)</t>
  </si>
  <si>
    <t>Data from API std. 12F, Table 1, for oilfield storage tanks (low pressure). Larger producing fields would use purpose built large tanks</t>
  </si>
  <si>
    <t>4.1.2 Number of days of storage required</t>
  </si>
  <si>
    <t>4.1.2.1 Oil storage desired</t>
  </si>
  <si>
    <t>days</t>
  </si>
  <si>
    <t>4.1.2.2 Produced water storage desired</t>
  </si>
  <si>
    <t>4.1.3 Volume of storage required</t>
  </si>
  <si>
    <t>4.1.3.1 Oil storage volume required</t>
  </si>
  <si>
    <t>bbl oil</t>
  </si>
  <si>
    <t>4.1.3.2 Water storage volume required</t>
  </si>
  <si>
    <t>bbl water</t>
  </si>
  <si>
    <t>4.1.3 Number of tanks required</t>
  </si>
  <si>
    <t>4.1.3.1 Oil tanks required</t>
  </si>
  <si>
    <t>tanks</t>
  </si>
  <si>
    <t>Assume that the largest tanks are used by default</t>
  </si>
  <si>
    <t>4.1.3.2 Water tanks required</t>
  </si>
  <si>
    <t>4.1.4 Mass of steel tanks required</t>
  </si>
  <si>
    <t>5  Crude oil transport infrastructure</t>
  </si>
  <si>
    <t>5.1 Large diameter crude transmission pipeline infrastructure</t>
  </si>
  <si>
    <t>5.1.1 Large diameter pipeline characteristics</t>
  </si>
  <si>
    <t>STD</t>
  </si>
  <si>
    <t>XH</t>
  </si>
  <si>
    <t>Nominal diam (in)</t>
  </si>
  <si>
    <t>Wall thickness (in.)</t>
  </si>
  <si>
    <t>Weight (lb/ft)</t>
  </si>
  <si>
    <t>Weight (lbm/ft)</t>
  </si>
  <si>
    <t>Values from Arnold (2006), Editor L. Lake, Table 9.7</t>
  </si>
  <si>
    <t>Thicknessed given by ANSI pipe schedules. By default, two of the most commonly available schedules are used. See Table 9.7 for other thicknesses.</t>
  </si>
  <si>
    <t>Other thicknesses can be entered by hand below if desired</t>
  </si>
  <si>
    <t>Because we do not know the type of pipeline network that crude will be transported over, we compute the steel intensity of crude transport for the entire US pipeline system</t>
  </si>
  <si>
    <t>5.1.2 Petroleum pipeline length in USA</t>
  </si>
  <si>
    <t>km</t>
  </si>
  <si>
    <t>From CIA World Factbook, for 2013</t>
  </si>
  <si>
    <t>For petroleum product pipelines</t>
  </si>
  <si>
    <t>5.1.3 Average pipeline nominal diameter</t>
  </si>
  <si>
    <t>in</t>
  </si>
  <si>
    <t>5.1.4 Pipeline thickness (1 = STD, 2 = XH)</t>
  </si>
  <si>
    <t>5.1.3 Assumed average pipe specific weight</t>
  </si>
  <si>
    <t>See above for source.</t>
  </si>
  <si>
    <t>5.1.4 Mass of US pipeline system (only pipe)</t>
  </si>
  <si>
    <t>5.1.5 Mass of ancillary steel (supports, reinforcement, casing and trenching)</t>
  </si>
  <si>
    <t>Assume additional steel is equal to 0.75 times the mass of the pipe</t>
  </si>
  <si>
    <t>5.1.6 Crude oil transported (only raw produced crude, not products or imports)</t>
  </si>
  <si>
    <t>MMbbl/d</t>
  </si>
  <si>
    <t>Assume average production over life of US infrastructure of 10 MMbbl/d</t>
  </si>
  <si>
    <t>5.1.7 Life of current pipeline infrastructure</t>
  </si>
  <si>
    <t>years</t>
  </si>
  <si>
    <t>Assume pipe last 30 years</t>
  </si>
  <si>
    <t>5.1.8 Total crude transported over pipeline system life</t>
  </si>
  <si>
    <t>MMbbl/pipe life</t>
  </si>
  <si>
    <t>Use average crude oil energy density</t>
  </si>
  <si>
    <t>5.1.9 Energy content of crude transported over pipeline system life</t>
  </si>
  <si>
    <t>bbl oil transported/lb of steel</t>
  </si>
  <si>
    <t>5.1.10 Mass of steel required per to support transport of produced crude</t>
  </si>
  <si>
    <t>5.1.11 Mass of steel required to support modeled field</t>
  </si>
  <si>
    <t>5.2 Small diameter crude gathering system infrastructure</t>
  </si>
  <si>
    <t>5.2.1 Small diameter pipeline characteristics</t>
  </si>
  <si>
    <t>5.2.2. Pipeline thickness (1 = STD, 2 = XH)</t>
  </si>
  <si>
    <t>5.2.2 Average distance of gathering line per well</t>
  </si>
  <si>
    <t>Beath et al. (2014) Appendix C usggests averagte of 2.3 km per well</t>
  </si>
  <si>
    <t>5.2.3 Average diameter of gathering line</t>
  </si>
  <si>
    <t>Beath et al. (2014) Appendix C</t>
  </si>
  <si>
    <t>lb steel per well</t>
  </si>
  <si>
    <t>5.2.5 Gathering system steel requirements per well</t>
  </si>
  <si>
    <t>6  Shipment of oilfield material goods</t>
  </si>
  <si>
    <t>6.1 Input material requirements</t>
  </si>
  <si>
    <t>6.1.1 Total steel requirements</t>
  </si>
  <si>
    <t>lb steel</t>
  </si>
  <si>
    <t>6.1.2 Total cement requirements</t>
  </si>
  <si>
    <t>lb cement</t>
  </si>
  <si>
    <t>6.1.3 Total drilling mud requirements</t>
  </si>
  <si>
    <t>lb drilling mud</t>
  </si>
  <si>
    <t>6.1.4 Total fracturing sand requirements</t>
  </si>
  <si>
    <t>lb sand</t>
  </si>
  <si>
    <t>6.1.5 Total fracturing water requirements</t>
  </si>
  <si>
    <t>lb fracturing water</t>
  </si>
  <si>
    <t>6.2 Shipment distances</t>
  </si>
  <si>
    <t>6.2.1 Shipment distance for steel</t>
  </si>
  <si>
    <t>mi</t>
  </si>
  <si>
    <t>6.2.2 Shipment distance for cement</t>
  </si>
  <si>
    <t>6.2.3 Shipment distance for drilling mud</t>
  </si>
  <si>
    <t>6.2.4 Shipment distance for fracturing sand</t>
  </si>
  <si>
    <t>6.2.5 Shipment distance for fracturing water</t>
  </si>
  <si>
    <t>6.3 Shipment modes (1=truck, 2=rail)</t>
  </si>
  <si>
    <t>6.3.1 Shipment mode for steel</t>
  </si>
  <si>
    <t>6.3.2 Shipment mode for cement</t>
  </si>
  <si>
    <t>6.3.3 Shipment mode for drilling mud</t>
  </si>
  <si>
    <t>6.3.4 Shipment mode for fracturing sand</t>
  </si>
  <si>
    <t>6.3.5 Shipment mode for fracturing water</t>
  </si>
  <si>
    <t>6.4 Shipment energy</t>
  </si>
  <si>
    <t>6.4.1 Shipment energy for steel</t>
  </si>
  <si>
    <t>mmBtu</t>
  </si>
  <si>
    <t>6.4.2 Shipment energy for cement</t>
  </si>
  <si>
    <t>6.4.3 Shipment energy for drilling mud</t>
  </si>
  <si>
    <t>mmbtu</t>
  </si>
  <si>
    <t>6.4.4 Shipment energy for fracturing sand</t>
  </si>
  <si>
    <t>6.4.5 Shipment energy for fracturing water</t>
  </si>
  <si>
    <t>6.5 Shipment emissions</t>
  </si>
  <si>
    <t>6.4.1 Shipment emissions for steel</t>
  </si>
  <si>
    <t>gCO2</t>
  </si>
  <si>
    <t>6.4.2 Shipment emissions for cement</t>
  </si>
  <si>
    <t>6.4.3 Shipment emissions for drilling mud</t>
  </si>
  <si>
    <t>6.4.3 Shipment emissions for fracturing sand</t>
  </si>
  <si>
    <t>6.4.4 Shipment emissions for fracturing water</t>
  </si>
  <si>
    <t>lb drilling mud per field</t>
  </si>
  <si>
    <t>gallon fracturing water per field</t>
  </si>
  <si>
    <t>No data on embodied emissions in water from GREET model.</t>
  </si>
  <si>
    <t>mmBtu per field</t>
  </si>
  <si>
    <t>mmBtu/bbl</t>
  </si>
  <si>
    <t>mmBtu/mmBtu</t>
  </si>
  <si>
    <t>Other inputs required from OPGEE model</t>
  </si>
  <si>
    <t>Field depth</t>
  </si>
  <si>
    <t>Oil production volume</t>
  </si>
  <si>
    <t>Producing wells</t>
  </si>
  <si>
    <t>Wells</t>
  </si>
  <si>
    <t>Injecting wells</t>
  </si>
  <si>
    <t>API gravity</t>
  </si>
  <si>
    <t>deg. API</t>
  </si>
  <si>
    <t>Heating value of crude</t>
  </si>
  <si>
    <t>MMBTU/bbl</t>
  </si>
  <si>
    <t>MJ/bbl</t>
  </si>
  <si>
    <t>Wellhead pressure</t>
  </si>
  <si>
    <t>Water-oil-ratio</t>
  </si>
  <si>
    <t>bbl water/bbl oil</t>
  </si>
  <si>
    <t>Gas-oil-ratio</t>
  </si>
  <si>
    <t>scf/bbl</t>
  </si>
  <si>
    <t>In OPGEE, this should reference the inputs to gas processing, after vents and flares</t>
  </si>
  <si>
    <t>Amine treater operating pressure</t>
  </si>
  <si>
    <t>psi</t>
  </si>
  <si>
    <t>Gallons of TEG ciculated oper day</t>
  </si>
  <si>
    <t>gallon/d</t>
  </si>
  <si>
    <t>Gas reinjection compressor horsepower</t>
  </si>
  <si>
    <t>Gas flooding compressor horsepower</t>
  </si>
  <si>
    <t>Gas reinjection volume</t>
  </si>
  <si>
    <t>Gas lifting compressor horsepower</t>
  </si>
  <si>
    <t>Gas lifting injection volume</t>
  </si>
  <si>
    <t>Well productivity</t>
  </si>
  <si>
    <t>bbl/well</t>
  </si>
  <si>
    <t>Field productivity</t>
  </si>
  <si>
    <t>Truck BTU per ton-mile</t>
  </si>
  <si>
    <t>Train BTU per ton-mil</t>
  </si>
  <si>
    <t>btu/ton-mile</t>
  </si>
  <si>
    <t>g GHGs per Btu - truck</t>
  </si>
  <si>
    <t>g GHGs per Btu - rail</t>
  </si>
  <si>
    <t>g/mmbtu</t>
  </si>
  <si>
    <t>bbl/field</t>
  </si>
  <si>
    <t>GREET</t>
  </si>
  <si>
    <t>Ecoinvent</t>
  </si>
  <si>
    <t>Embodied emissions (gCO2e/lb)</t>
  </si>
  <si>
    <t>Selected values</t>
  </si>
  <si>
    <r>
      <t>ft</t>
    </r>
    <r>
      <rPr>
        <vertAlign val="superscript"/>
        <sz val="12"/>
        <color theme="1"/>
        <rFont val="Helvetica"/>
      </rPr>
      <t>3</t>
    </r>
    <r>
      <rPr>
        <sz val="12"/>
        <color theme="1"/>
        <rFont val="Helvetica"/>
        <family val="2"/>
      </rPr>
      <t>/ft</t>
    </r>
    <r>
      <rPr>
        <vertAlign val="superscript"/>
        <sz val="12"/>
        <color theme="1"/>
        <rFont val="Helvetica"/>
      </rPr>
      <t>3</t>
    </r>
  </si>
  <si>
    <r>
      <t>ft</t>
    </r>
    <r>
      <rPr>
        <vertAlign val="superscript"/>
        <sz val="12"/>
        <color theme="1"/>
        <rFont val="Helvetica"/>
      </rPr>
      <t>3</t>
    </r>
    <r>
      <rPr>
        <sz val="12"/>
        <color theme="1"/>
        <rFont val="Helvetica"/>
        <family val="2"/>
      </rPr>
      <t>/ft well</t>
    </r>
  </si>
  <si>
    <r>
      <t>ft</t>
    </r>
    <r>
      <rPr>
        <vertAlign val="superscript"/>
        <sz val="12"/>
        <color theme="1"/>
        <rFont val="Helvetica"/>
      </rPr>
      <t>3</t>
    </r>
    <r>
      <rPr>
        <sz val="12"/>
        <color theme="1"/>
        <rFont val="Helvetica"/>
        <family val="2"/>
      </rPr>
      <t xml:space="preserve"> cement per field</t>
    </r>
  </si>
  <si>
    <r>
      <t>gCO</t>
    </r>
    <r>
      <rPr>
        <vertAlign val="subscript"/>
        <sz val="12"/>
        <color theme="1"/>
        <rFont val="Helvetica"/>
      </rPr>
      <t>2</t>
    </r>
    <r>
      <rPr>
        <sz val="12"/>
        <color theme="1"/>
        <rFont val="Helvetica"/>
        <family val="2"/>
      </rPr>
      <t xml:space="preserve"> per field</t>
    </r>
  </si>
  <si>
    <r>
      <t>gCO</t>
    </r>
    <r>
      <rPr>
        <vertAlign val="subscript"/>
        <sz val="12"/>
        <color theme="1"/>
        <rFont val="Helvetica"/>
      </rPr>
      <t>2</t>
    </r>
    <r>
      <rPr>
        <sz val="12"/>
        <color theme="1"/>
        <rFont val="Helvetica"/>
        <family val="2"/>
      </rPr>
      <t>/bbl</t>
    </r>
  </si>
  <si>
    <r>
      <t>gCO</t>
    </r>
    <r>
      <rPr>
        <vertAlign val="subscript"/>
        <sz val="12"/>
        <color theme="1"/>
        <rFont val="Helvetica"/>
      </rPr>
      <t>2</t>
    </r>
    <r>
      <rPr>
        <sz val="12"/>
        <color theme="1"/>
        <rFont val="Helvetica"/>
        <family val="2"/>
      </rPr>
      <t>/MJ</t>
    </r>
  </si>
  <si>
    <t>GREET:</t>
  </si>
  <si>
    <t>Data from GREET2_2014, sheet "Mat_Sum" column "average steel" and sheet "Cement_Concrete".</t>
  </si>
  <si>
    <t>Embodied energy (MJ/kg)</t>
  </si>
  <si>
    <t>Embodied emissions (gCO2/kg)</t>
  </si>
  <si>
    <t>Selected values (SI)</t>
  </si>
  <si>
    <t>Notes: When this module is integrated into the OPGEE model, the "Embodied Emissions" sheet will call these values from the rest of the model.</t>
  </si>
  <si>
    <t>1. Field properties</t>
  </si>
  <si>
    <t>2. Crude properties</t>
  </si>
  <si>
    <t>3. Production data</t>
  </si>
  <si>
    <t>4. Transport energy and GHGs</t>
  </si>
  <si>
    <t>Heating value of crude (MJ)</t>
  </si>
  <si>
    <t>OPGEE Embodied Energy Supplemental Calculation</t>
  </si>
  <si>
    <t>This sheet serves as a supplemental calculator to compute embodied energy use and embodied emissions in developing oil and gas wells.</t>
  </si>
  <si>
    <t>This model will be integrated into a future version of the complete OPGEE model</t>
  </si>
  <si>
    <t>Author:</t>
  </si>
  <si>
    <t>Adam R. Brandt</t>
  </si>
  <si>
    <t>Department of Energy Resources Engineering, Stanford University</t>
  </si>
  <si>
    <t>Worksheet date:</t>
  </si>
  <si>
    <t>Worksheet version:</t>
  </si>
  <si>
    <t>From relationship for centrifugal compressors from Y. Sun 2015.</t>
  </si>
  <si>
    <t xml:space="preserve">Ecoinvent: </t>
  </si>
  <si>
    <t>Data from Ecoinvent v. 3.0, representing summed primary inputs of oil, coal, and natural gas.</t>
  </si>
  <si>
    <t>Mixed units</t>
  </si>
  <si>
    <t>SI units</t>
  </si>
  <si>
    <t>Embodied emissions (gCO2e/kg)</t>
  </si>
  <si>
    <t>Term</t>
  </si>
  <si>
    <t>Functional unit</t>
  </si>
  <si>
    <t>Process description</t>
  </si>
  <si>
    <t>1 kg barite</t>
  </si>
  <si>
    <t xml:space="preserve">Bentonite clay        </t>
  </si>
  <si>
    <t>1 kg bentonite clay</t>
  </si>
  <si>
    <t xml:space="preserve">Bentonite quarry operation, RoW </t>
  </si>
  <si>
    <t>Barite production, RoW</t>
  </si>
  <si>
    <t>Cement</t>
  </si>
  <si>
    <t>1 kg portland cement</t>
  </si>
  <si>
    <t>Cement production, Portland, RoW</t>
  </si>
  <si>
    <t>Fracturing sand</t>
  </si>
  <si>
    <t>1 kg sand</t>
  </si>
  <si>
    <t>Gravel and sand quarry operation ROW</t>
  </si>
  <si>
    <t>Hematite</t>
  </si>
  <si>
    <t>1 kg hematite ore</t>
  </si>
  <si>
    <t>Iron mine operation, crude ore, 46% Fe, GLO</t>
  </si>
  <si>
    <t>1 kg steel</t>
  </si>
  <si>
    <t>Steel production, converter, low-alloyed, ROW</t>
  </si>
  <si>
    <t>Steel production, converter, unalloyed, ROW</t>
  </si>
  <si>
    <t>Ecoinvent process descriptions, from Ecoinvent v 3.0</t>
  </si>
  <si>
    <t>Mitchell (2006) suggests that "almost all drilling cements are made of Portland cement, a calcined (burned) blend of limestone and clay."  The types of cement included in SPE documents are ASTM type I, II, III, and IV, which correspond to API classes A, C, G, H.</t>
  </si>
  <si>
    <t>No specific entry was available for hydraulic fracturing proppant sand.</t>
  </si>
  <si>
    <t>Mitchell (2006) suggests that "almost without exception, casing is manufactured of mild (0.3 carbon) steel, normalized with small amounts of manganese. Strength can also be increased with quenching and tempering.:</t>
  </si>
  <si>
    <t>1.2 Chosen embodied emissions values (1=Ecoinvent, 2= GREET)</t>
  </si>
  <si>
    <t>7 Oilfield abandonment</t>
  </si>
  <si>
    <t>7.1 Abandonment design</t>
  </si>
  <si>
    <t>7.1.1 Number of wellbore plugs needed for abandonment</t>
  </si>
  <si>
    <t>Benediktus, 2009, p. 11</t>
  </si>
  <si>
    <t>Plugs</t>
  </si>
  <si>
    <t>7.1.2 Length of wellbore plugs</t>
  </si>
  <si>
    <t>7.1.3 Diameter of wellbore plugs</t>
  </si>
  <si>
    <t>7.1.4 Volume of wellbore plugs</t>
  </si>
  <si>
    <t>ft3</t>
  </si>
  <si>
    <t>8 Summary results</t>
  </si>
  <si>
    <t>8.1 Input material requirements (mixed units)</t>
  </si>
  <si>
    <t>8.2 Emissions from materials</t>
  </si>
  <si>
    <t>8.3 Total embodied emissions</t>
  </si>
  <si>
    <t>8.4 Energy use in materials</t>
  </si>
  <si>
    <t>8.5 Total embodied energy</t>
  </si>
  <si>
    <t>8.1.1 Total steel requirements</t>
  </si>
  <si>
    <t>8.1.2 Total cement requirements</t>
  </si>
  <si>
    <t>8.1.3 Total drilling mud requirements</t>
  </si>
  <si>
    <t>8.1.4 Total fracturing sand requirements</t>
  </si>
  <si>
    <t>8.1.5 Total fracturing water requirements</t>
  </si>
  <si>
    <t>8.2.1 Emissions from steel</t>
  </si>
  <si>
    <t>8.2.2 Emissions from cement</t>
  </si>
  <si>
    <t>8.2.3 Emissions from drilling mud</t>
  </si>
  <si>
    <t>8.2.3 Emissions from fracturing sand</t>
  </si>
  <si>
    <t>8.2.4 Emissions from fracturing water</t>
  </si>
  <si>
    <t>8.2.5 Emissions from transporting materials</t>
  </si>
  <si>
    <t>8.3.1 Emissions per bbl of crude oil</t>
  </si>
  <si>
    <t>8.3.2 Emissions per MJ of crude oil</t>
  </si>
  <si>
    <t>8.4.1 Energy use from steel</t>
  </si>
  <si>
    <t>8.4.2 Energy use from cement</t>
  </si>
  <si>
    <t>8.4.3 Energy use from drilling mud</t>
  </si>
  <si>
    <t>8.4.3 Energy use from fracturing sand</t>
  </si>
  <si>
    <t>8.4.4 Energy use from fracturing water</t>
  </si>
  <si>
    <t>8.4.5 Energy use in transporting materials</t>
  </si>
  <si>
    <t>8.5.1 Energy per bbl of crude oil</t>
  </si>
  <si>
    <t>8.5.1 Energy per unit of crude oil energy content</t>
  </si>
  <si>
    <t>7.1.5 Weight of wellbore plugs</t>
  </si>
  <si>
    <t>Oil-based mud</t>
  </si>
  <si>
    <t>Diesel</t>
  </si>
  <si>
    <t>Calcium chloride</t>
  </si>
  <si>
    <t>Diesel-based drilling mud based on mud from Mitchell and Miska p. 93, made slightly more dense for deep shale drilling applications.</t>
  </si>
  <si>
    <t>2.5.5 Type of mud required (1=light, 2=medium, 3=heavy, 4 = oil-based)</t>
  </si>
  <si>
    <t>2.5.6.3 Mass of barite required</t>
  </si>
  <si>
    <t>2.5.6.4 Mass of diesel required</t>
  </si>
  <si>
    <t>2.5.6.5 Mass of calcium chloride required</t>
  </si>
  <si>
    <t>5. Conversion factors</t>
  </si>
  <si>
    <t>gallon per ft3</t>
  </si>
  <si>
    <t>Gallons per f3</t>
  </si>
  <si>
    <t>Deisel drilling fluid additive</t>
  </si>
  <si>
    <t>Diesel drilling fluid additive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</si>
</sst>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00"/>
  </numFmts>
  <fonts count="19" x14ac:knownFonts="1">
    <font>
      <sz val="12"/>
      <color theme="1"/>
      <name val="Calibri"/>
      <family val="2"/>
      <scheme val="minor"/>
    </font>
    <font>
      <b/>
      <sz val="16"/>
      <color theme="0"/>
      <name val="Helvetica"/>
    </font>
    <font>
      <b/>
      <sz val="12"/>
      <color theme="0"/>
      <name val="Helvetica"/>
    </font>
    <font>
      <sz val="12"/>
      <color theme="1"/>
      <name val="Helvetica"/>
      <family val="2"/>
    </font>
    <font>
      <sz val="10"/>
      <color theme="5"/>
      <name val="Helvetica"/>
    </font>
    <font>
      <sz val="10"/>
      <color theme="1"/>
      <name val="Helvetica"/>
    </font>
    <font>
      <sz val="10"/>
      <color theme="0"/>
      <name val="Helvetica"/>
    </font>
    <font>
      <sz val="10"/>
      <name val="Helvetica"/>
    </font>
    <font>
      <vertAlign val="superscript"/>
      <sz val="12"/>
      <color theme="1"/>
      <name val="Helvetica"/>
    </font>
    <font>
      <sz val="12"/>
      <color theme="1" tint="0.499984740745262"/>
      <name val="Helvetica"/>
    </font>
    <font>
      <b/>
      <sz val="12"/>
      <color theme="1"/>
      <name val="Helvetica"/>
    </font>
    <font>
      <sz val="12"/>
      <color rgb="FF000000"/>
      <name val="Helvetica"/>
    </font>
    <font>
      <sz val="9"/>
      <color rgb="FF595959"/>
      <name val="Helvetica"/>
      <family val="2"/>
    </font>
    <font>
      <i/>
      <sz val="12"/>
      <color theme="1"/>
      <name val="Helvetica"/>
    </font>
    <font>
      <vertAlign val="subscript"/>
      <sz val="12"/>
      <color theme="1"/>
      <name val="Helvetica"/>
    </font>
    <font>
      <u/>
      <sz val="12"/>
      <color theme="10"/>
      <name val="Calibri"/>
      <family val="2"/>
      <scheme val="minor"/>
    </font>
    <font>
      <u/>
      <sz val="12"/>
      <color theme="11"/>
      <name val="Calibri"/>
      <family val="2"/>
      <scheme val="minor"/>
    </font>
    <font>
      <sz val="10"/>
      <name val="Arial"/>
      <family val="2"/>
    </font>
    <font>
      <sz val="10"/>
      <color rgb="FFC0504D"/>
      <name val="Helvetica"/>
    </font>
  </fonts>
  <fills count="10">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0"/>
      </patternFill>
    </fill>
    <fill>
      <patternFill patternType="solid">
        <fgColor theme="5" tint="0.79998168889431442"/>
        <bgColor indexed="64"/>
      </patternFill>
    </fill>
    <fill>
      <patternFill patternType="solid">
        <fgColor theme="0" tint="-0.14999847407452621"/>
        <bgColor indexed="65"/>
      </patternFill>
    </fill>
    <fill>
      <patternFill patternType="solid">
        <fgColor theme="0"/>
        <bgColor rgb="FF000000"/>
      </patternFill>
    </fill>
    <fill>
      <patternFill patternType="solid">
        <fgColor rgb="FF8C1515"/>
        <bgColor indexed="64"/>
      </patternFill>
    </fill>
    <fill>
      <patternFill patternType="solid">
        <fgColor rgb="FFFFFFFF"/>
        <bgColor rgb="FF000000"/>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s>
  <cellStyleXfs count="147">
    <xf numFmtId="0" fontId="0" fillId="0" borderId="0"/>
    <xf numFmtId="0" fontId="1" fillId="2" borderId="1"/>
    <xf numFmtId="0" fontId="2" fillId="2" borderId="1"/>
    <xf numFmtId="0" fontId="4" fillId="4" borderId="2"/>
    <xf numFmtId="0" fontId="5" fillId="4" borderId="2"/>
    <xf numFmtId="0" fontId="6" fillId="2" borderId="2"/>
    <xf numFmtId="2" fontId="7" fillId="4" borderId="2"/>
    <xf numFmtId="164" fontId="4" fillId="5" borderId="2"/>
    <xf numFmtId="164" fontId="5" fillId="6" borderId="2"/>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78">
    <xf numFmtId="0" fontId="0" fillId="0" borderId="0" xfId="0"/>
    <xf numFmtId="0" fontId="3" fillId="3" borderId="0" xfId="0" applyFont="1" applyFill="1" applyProtection="1">
      <protection locked="0"/>
    </xf>
    <xf numFmtId="0" fontId="10" fillId="3" borderId="0" xfId="0" applyFont="1" applyFill="1" applyProtection="1">
      <protection locked="0"/>
    </xf>
    <xf numFmtId="0" fontId="9" fillId="3" borderId="0" xfId="0" applyFont="1" applyFill="1"/>
    <xf numFmtId="0" fontId="9" fillId="3" borderId="0" xfId="0" applyFont="1" applyFill="1" applyBorder="1"/>
    <xf numFmtId="2" fontId="9" fillId="3" borderId="0" xfId="0" applyNumberFormat="1" applyFont="1" applyFill="1"/>
    <xf numFmtId="0" fontId="11" fillId="7" borderId="0" xfId="0" applyFont="1" applyFill="1"/>
    <xf numFmtId="0" fontId="12" fillId="3" borderId="0" xfId="0" applyFont="1" applyFill="1" applyAlignment="1">
      <alignment horizontal="center" vertical="center"/>
    </xf>
    <xf numFmtId="0" fontId="13" fillId="3" borderId="0" xfId="0" applyFont="1" applyFill="1"/>
    <xf numFmtId="0" fontId="11" fillId="7" borderId="0" xfId="0" applyFont="1" applyFill="1" applyProtection="1">
      <protection locked="0"/>
    </xf>
    <xf numFmtId="164" fontId="4" fillId="5" borderId="2" xfId="7"/>
    <xf numFmtId="1" fontId="4" fillId="5" borderId="2" xfId="7" applyNumberFormat="1"/>
    <xf numFmtId="164" fontId="5" fillId="6" borderId="2" xfId="8"/>
    <xf numFmtId="0" fontId="1" fillId="8" borderId="1" xfId="1" applyFont="1" applyFill="1" applyProtection="1">
      <protection locked="0"/>
    </xf>
    <xf numFmtId="0" fontId="2" fillId="8" borderId="0" xfId="2" applyFont="1" applyFill="1" applyBorder="1" applyProtection="1">
      <protection locked="0"/>
    </xf>
    <xf numFmtId="0" fontId="3" fillId="8" borderId="0" xfId="0" applyFont="1" applyFill="1" applyBorder="1"/>
    <xf numFmtId="0" fontId="3" fillId="3" borderId="0" xfId="0" applyFont="1" applyFill="1"/>
    <xf numFmtId="0" fontId="4" fillId="3" borderId="2" xfId="3" applyFont="1" applyFill="1" applyProtection="1">
      <protection locked="0"/>
    </xf>
    <xf numFmtId="0" fontId="5" fillId="3" borderId="2" xfId="4" applyFont="1" applyFill="1" applyProtection="1">
      <protection locked="0"/>
    </xf>
    <xf numFmtId="0" fontId="6" fillId="8" borderId="2" xfId="5" applyFont="1" applyFill="1" applyBorder="1" applyAlignment="1" applyProtection="1">
      <alignment wrapText="1"/>
      <protection locked="0"/>
    </xf>
    <xf numFmtId="2" fontId="7" fillId="4" borderId="2" xfId="6" applyFont="1" applyFill="1" applyBorder="1" applyAlignment="1" applyProtection="1">
      <protection locked="0"/>
    </xf>
    <xf numFmtId="164" fontId="4" fillId="5" borderId="2" xfId="7" applyFont="1"/>
    <xf numFmtId="1" fontId="4" fillId="3" borderId="2" xfId="7" applyNumberFormat="1" applyFont="1" applyFill="1" applyProtection="1">
      <protection locked="0"/>
    </xf>
    <xf numFmtId="165" fontId="4" fillId="3" borderId="2" xfId="7" applyNumberFormat="1" applyFont="1" applyFill="1" applyProtection="1">
      <protection locked="0"/>
    </xf>
    <xf numFmtId="0" fontId="4" fillId="4" borderId="2" xfId="3" applyFont="1" applyFill="1" applyProtection="1">
      <protection locked="0"/>
    </xf>
    <xf numFmtId="0" fontId="5" fillId="4" borderId="2" xfId="4" applyFont="1" applyFill="1" applyProtection="1">
      <protection locked="0"/>
    </xf>
    <xf numFmtId="0" fontId="2" fillId="8" borderId="1" xfId="2" applyFont="1" applyFill="1" applyProtection="1">
      <protection locked="0"/>
    </xf>
    <xf numFmtId="0" fontId="3" fillId="8" borderId="0" xfId="0" applyFont="1" applyFill="1"/>
    <xf numFmtId="0" fontId="2" fillId="3" borderId="1" xfId="2" applyFont="1" applyFill="1" applyProtection="1">
      <protection locked="0"/>
    </xf>
    <xf numFmtId="166" fontId="7" fillId="4" borderId="2" xfId="6" applyNumberFormat="1" applyFont="1" applyFill="1" applyBorder="1" applyAlignment="1" applyProtection="1">
      <protection locked="0"/>
    </xf>
    <xf numFmtId="166" fontId="7" fillId="4" borderId="0" xfId="6" applyNumberFormat="1" applyFont="1" applyFill="1" applyBorder="1" applyAlignment="1" applyProtection="1">
      <protection locked="0"/>
    </xf>
    <xf numFmtId="0" fontId="3" fillId="3" borderId="0" xfId="0" applyFont="1" applyFill="1" applyBorder="1"/>
    <xf numFmtId="1" fontId="7" fillId="4" borderId="2" xfId="6" applyNumberFormat="1" applyFont="1" applyFill="1" applyBorder="1" applyAlignment="1" applyProtection="1">
      <protection locked="0"/>
    </xf>
    <xf numFmtId="0" fontId="3" fillId="3" borderId="0" xfId="0" applyFont="1" applyFill="1" applyAlignment="1">
      <alignment wrapText="1"/>
    </xf>
    <xf numFmtId="2" fontId="7" fillId="4" borderId="0" xfId="6" applyFont="1" applyFill="1" applyBorder="1" applyAlignment="1" applyProtection="1">
      <protection locked="0"/>
    </xf>
    <xf numFmtId="1" fontId="4" fillId="5" borderId="2" xfId="7" applyNumberFormat="1" applyFont="1"/>
    <xf numFmtId="164" fontId="5" fillId="6" borderId="2" xfId="8" applyFont="1"/>
    <xf numFmtId="2" fontId="7" fillId="4" borderId="2" xfId="6" applyFont="1" applyFill="1" applyBorder="1" applyAlignment="1" applyProtection="1">
      <alignment wrapText="1"/>
      <protection locked="0"/>
    </xf>
    <xf numFmtId="0" fontId="6" fillId="8" borderId="6" xfId="5" applyFont="1" applyFill="1" applyBorder="1" applyAlignment="1" applyProtection="1">
      <alignment wrapText="1"/>
      <protection locked="0"/>
    </xf>
    <xf numFmtId="0" fontId="6" fillId="8" borderId="7" xfId="5" applyFont="1" applyFill="1" applyBorder="1" applyAlignment="1" applyProtection="1">
      <alignment wrapText="1"/>
      <protection locked="0"/>
    </xf>
    <xf numFmtId="1" fontId="7" fillId="4" borderId="0" xfId="6" applyNumberFormat="1" applyFont="1" applyFill="1" applyBorder="1" applyAlignment="1" applyProtection="1">
      <protection locked="0"/>
    </xf>
    <xf numFmtId="165" fontId="3" fillId="3" borderId="0" xfId="0" applyNumberFormat="1" applyFont="1" applyFill="1"/>
    <xf numFmtId="0" fontId="10" fillId="3" borderId="0" xfId="0" applyFont="1" applyFill="1"/>
    <xf numFmtId="2" fontId="3" fillId="3" borderId="0" xfId="0" applyNumberFormat="1" applyFont="1" applyFill="1"/>
    <xf numFmtId="164" fontId="7" fillId="4" borderId="2" xfId="6" applyNumberFormat="1" applyFont="1" applyFill="1" applyBorder="1" applyAlignment="1" applyProtection="1">
      <protection locked="0"/>
    </xf>
    <xf numFmtId="164" fontId="7" fillId="4" borderId="0" xfId="6" applyNumberFormat="1" applyFont="1" applyFill="1" applyBorder="1" applyAlignment="1" applyProtection="1">
      <protection locked="0"/>
    </xf>
    <xf numFmtId="164" fontId="3" fillId="3" borderId="0" xfId="0" applyNumberFormat="1" applyFont="1" applyFill="1"/>
    <xf numFmtId="1" fontId="3" fillId="3" borderId="0" xfId="0" applyNumberFormat="1" applyFont="1" applyFill="1"/>
    <xf numFmtId="0" fontId="4" fillId="4" borderId="2" xfId="3" applyFont="1" applyFill="1"/>
    <xf numFmtId="1" fontId="4" fillId="4" borderId="2" xfId="3" applyNumberFormat="1" applyFont="1" applyFill="1"/>
    <xf numFmtId="1" fontId="5" fillId="4" borderId="2" xfId="4" applyNumberFormat="1" applyFont="1" applyFill="1"/>
    <xf numFmtId="164" fontId="4" fillId="4" borderId="2" xfId="3" applyNumberFormat="1" applyFont="1" applyFill="1"/>
    <xf numFmtId="164" fontId="5" fillId="4" borderId="2" xfId="4" applyNumberFormat="1" applyFont="1" applyFill="1"/>
    <xf numFmtId="2" fontId="7" fillId="4" borderId="2" xfId="6" applyNumberFormat="1" applyFont="1" applyFill="1" applyBorder="1" applyAlignment="1" applyProtection="1">
      <protection locked="0"/>
    </xf>
    <xf numFmtId="2" fontId="7" fillId="4" borderId="0" xfId="6" applyNumberFormat="1" applyFont="1" applyFill="1" applyBorder="1" applyAlignment="1" applyProtection="1">
      <protection locked="0"/>
    </xf>
    <xf numFmtId="1" fontId="4" fillId="4" borderId="2" xfId="3" applyNumberFormat="1" applyFont="1" applyFill="1" applyProtection="1">
      <protection locked="0"/>
    </xf>
    <xf numFmtId="1" fontId="5" fillId="4" borderId="2" xfId="4" applyNumberFormat="1" applyFont="1" applyFill="1" applyProtection="1">
      <protection locked="0"/>
    </xf>
    <xf numFmtId="11" fontId="4" fillId="4" borderId="2" xfId="3" applyNumberFormat="1" applyFont="1" applyFill="1" applyProtection="1">
      <protection locked="0"/>
    </xf>
    <xf numFmtId="11" fontId="3" fillId="3" borderId="0" xfId="0" applyNumberFormat="1" applyFont="1" applyFill="1"/>
    <xf numFmtId="0" fontId="4" fillId="4" borderId="2" xfId="3"/>
    <xf numFmtId="1" fontId="5" fillId="6" borderId="2" xfId="8" applyNumberFormat="1"/>
    <xf numFmtId="164" fontId="4" fillId="5" borderId="2" xfId="7" applyNumberFormat="1"/>
    <xf numFmtId="164" fontId="5" fillId="6" borderId="2" xfId="8" applyNumberFormat="1"/>
    <xf numFmtId="2" fontId="4" fillId="5" borderId="2" xfId="7" applyNumberFormat="1"/>
    <xf numFmtId="166" fontId="4" fillId="5" borderId="2" xfId="7" applyNumberFormat="1"/>
    <xf numFmtId="2" fontId="4" fillId="5" borderId="2" xfId="7" applyNumberFormat="1" applyFont="1"/>
    <xf numFmtId="164" fontId="4" fillId="5" borderId="2" xfId="7" applyNumberFormat="1" applyFont="1"/>
    <xf numFmtId="14" fontId="3" fillId="3" borderId="0" xfId="0" applyNumberFormat="1" applyFont="1" applyFill="1"/>
    <xf numFmtId="1" fontId="18" fillId="9" borderId="2" xfId="0" applyNumberFormat="1" applyFont="1" applyFill="1" applyBorder="1" applyProtection="1">
      <protection locked="0"/>
    </xf>
    <xf numFmtId="165" fontId="18" fillId="9" borderId="4" xfId="0" applyNumberFormat="1" applyFont="1" applyFill="1" applyBorder="1" applyProtection="1">
      <protection locked="0"/>
    </xf>
    <xf numFmtId="1" fontId="18" fillId="9" borderId="6" xfId="0" applyNumberFormat="1" applyFont="1" applyFill="1" applyBorder="1" applyProtection="1">
      <protection locked="0"/>
    </xf>
    <xf numFmtId="165" fontId="18" fillId="9" borderId="8" xfId="0" applyNumberFormat="1" applyFont="1" applyFill="1" applyBorder="1" applyProtection="1">
      <protection locked="0"/>
    </xf>
    <xf numFmtId="167" fontId="17" fillId="0" borderId="0" xfId="0" applyNumberFormat="1" applyFont="1" applyBorder="1"/>
    <xf numFmtId="164" fontId="5" fillId="4" borderId="2" xfId="4" applyNumberFormat="1" applyFont="1" applyFill="1" applyProtection="1">
      <protection locked="0"/>
    </xf>
    <xf numFmtId="0" fontId="6" fillId="8" borderId="3" xfId="5" applyFont="1" applyFill="1" applyBorder="1" applyAlignment="1" applyProtection="1">
      <alignment horizontal="center" wrapText="1"/>
      <protection locked="0"/>
    </xf>
    <xf numFmtId="0" fontId="6" fillId="8" borderId="4" xfId="5" applyFont="1" applyFill="1" applyBorder="1" applyAlignment="1" applyProtection="1">
      <alignment horizontal="center" wrapText="1"/>
      <protection locked="0"/>
    </xf>
    <xf numFmtId="0" fontId="6" fillId="8" borderId="5" xfId="5" applyFont="1" applyFill="1" applyBorder="1" applyAlignment="1" applyProtection="1">
      <alignment horizontal="center" wrapText="1"/>
      <protection locked="0"/>
    </xf>
    <xf numFmtId="0" fontId="6" fillId="8" borderId="2" xfId="5" applyFont="1" applyFill="1" applyBorder="1" applyAlignment="1" applyProtection="1">
      <alignment horizontal="center" wrapText="1"/>
      <protection locked="0"/>
    </xf>
  </cellXfs>
  <cellStyles count="147">
    <cellStyle name="Default_Free" xfId="4"/>
    <cellStyle name="Default_Locked" xfId="8"/>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GHG First" xfId="2"/>
    <cellStyle name="GHG_Title" xfId="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Normal" xfId="0" builtinId="0"/>
    <cellStyle name="Table_Body" xfId="6"/>
    <cellStyle name="Table_Header" xfId="5"/>
    <cellStyle name="User_Free" xfId="3"/>
    <cellStyle name="User_Locked" xfId="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7922497679056"/>
          <c:y val="4.52173913043478E-2"/>
          <c:w val="0.83789636557438996"/>
          <c:h val="0.82541485792536795"/>
        </c:manualLayout>
      </c:layout>
      <c:scatterChart>
        <c:scatterStyle val="lineMarker"/>
        <c:varyColors val="0"/>
        <c:ser>
          <c:idx val="0"/>
          <c:order val="0"/>
          <c:tx>
            <c:v>200 psig</c:v>
          </c:tx>
          <c:spPr>
            <a:ln w="47625">
              <a:noFill/>
            </a:ln>
            <a:effectLst/>
          </c:spPr>
          <c:marker>
            <c:symbol val="square"/>
            <c:size val="10"/>
            <c:spPr>
              <a:solidFill>
                <a:srgbClr val="2584BB"/>
              </a:solidFill>
              <a:ln>
                <a:noFill/>
              </a:ln>
              <a:effectLst/>
            </c:spPr>
          </c:marker>
          <c:trendline>
            <c:trendlineType val="power"/>
            <c:dispRSqr val="1"/>
            <c:dispEq val="1"/>
            <c:trendlineLbl>
              <c:layout>
                <c:manualLayout>
                  <c:x val="-0.45923013444280197"/>
                  <c:y val="1.24483396097227E-2"/>
                </c:manualLayout>
              </c:layout>
              <c:numFmt formatCode="General" sourceLinked="0"/>
              <c:txPr>
                <a:bodyPr/>
                <a:lstStyle/>
                <a:p>
                  <a:pPr>
                    <a:defRPr>
                      <a:solidFill>
                        <a:srgbClr val="2584BB"/>
                      </a:solidFill>
                    </a:defRPr>
                  </a:pPr>
                  <a:endParaRPr lang="en-US"/>
                </a:p>
              </c:txPr>
            </c:trendlineLbl>
          </c:trendline>
          <c:xVal>
            <c:numLit>
              <c:formatCode>General</c:formatCode>
              <c:ptCount val="4"/>
              <c:pt idx="0">
                <c:v>0.1</c:v>
              </c:pt>
              <c:pt idx="1">
                <c:v>1</c:v>
              </c:pt>
              <c:pt idx="2">
                <c:v>10</c:v>
              </c:pt>
              <c:pt idx="3">
                <c:v>100</c:v>
              </c:pt>
            </c:numLit>
          </c:xVal>
          <c:yVal>
            <c:numLit>
              <c:formatCode>0.0</c:formatCode>
              <c:ptCount val="4"/>
              <c:pt idx="0">
                <c:v>4</c:v>
              </c:pt>
              <c:pt idx="1">
                <c:v>12</c:v>
              </c:pt>
              <c:pt idx="2">
                <c:v>38</c:v>
              </c:pt>
              <c:pt idx="3">
                <c:v>120</c:v>
              </c:pt>
            </c:numLit>
          </c:yVal>
          <c:smooth val="0"/>
        </c:ser>
        <c:ser>
          <c:idx val="1"/>
          <c:order val="1"/>
          <c:tx>
            <c:v>500 psig</c:v>
          </c:tx>
          <c:spPr>
            <a:ln w="47625">
              <a:noFill/>
            </a:ln>
            <a:effectLst/>
          </c:spPr>
          <c:marker>
            <c:symbol val="diamond"/>
            <c:size val="10"/>
            <c:spPr>
              <a:solidFill>
                <a:srgbClr val="A4001D"/>
              </a:solidFill>
              <a:ln>
                <a:noFill/>
              </a:ln>
              <a:effectLst/>
            </c:spPr>
          </c:marker>
          <c:trendline>
            <c:trendlineType val="power"/>
            <c:dispRSqr val="1"/>
            <c:dispEq val="1"/>
            <c:trendlineLbl>
              <c:layout>
                <c:manualLayout>
                  <c:x val="-0.27145720867860901"/>
                  <c:y val="-0.151481821294077"/>
                </c:manualLayout>
              </c:layout>
              <c:numFmt formatCode="General" sourceLinked="0"/>
              <c:txPr>
                <a:bodyPr/>
                <a:lstStyle/>
                <a:p>
                  <a:pPr>
                    <a:defRPr>
                      <a:solidFill>
                        <a:srgbClr val="A4001D"/>
                      </a:solidFill>
                    </a:defRPr>
                  </a:pPr>
                  <a:endParaRPr lang="en-US"/>
                </a:p>
              </c:txPr>
            </c:trendlineLbl>
          </c:trendline>
          <c:xVal>
            <c:numLit>
              <c:formatCode>General</c:formatCode>
              <c:ptCount val="4"/>
              <c:pt idx="0">
                <c:v>0.1</c:v>
              </c:pt>
              <c:pt idx="1">
                <c:v>1</c:v>
              </c:pt>
              <c:pt idx="2">
                <c:v>10</c:v>
              </c:pt>
              <c:pt idx="3">
                <c:v>100</c:v>
              </c:pt>
            </c:numLit>
          </c:xVal>
          <c:yVal>
            <c:numLit>
              <c:formatCode>0.0</c:formatCode>
              <c:ptCount val="4"/>
              <c:pt idx="0">
                <c:v>3.5</c:v>
              </c:pt>
              <c:pt idx="1">
                <c:v>9</c:v>
              </c:pt>
              <c:pt idx="2">
                <c:v>30</c:v>
              </c:pt>
              <c:pt idx="3">
                <c:v>95</c:v>
              </c:pt>
            </c:numLit>
          </c:yVal>
          <c:smooth val="0"/>
        </c:ser>
        <c:ser>
          <c:idx val="2"/>
          <c:order val="2"/>
          <c:tx>
            <c:v>1000 psig</c:v>
          </c:tx>
          <c:spPr>
            <a:ln w="47625">
              <a:noFill/>
            </a:ln>
            <a:effectLst/>
          </c:spPr>
          <c:marker>
            <c:symbol val="triangle"/>
            <c:size val="10"/>
            <c:spPr>
              <a:solidFill>
                <a:srgbClr val="FFCE30"/>
              </a:solidFill>
              <a:ln>
                <a:noFill/>
              </a:ln>
              <a:effectLst/>
            </c:spPr>
          </c:marker>
          <c:trendline>
            <c:trendlineType val="power"/>
            <c:dispRSqr val="1"/>
            <c:dispEq val="1"/>
            <c:trendlineLbl>
              <c:layout>
                <c:manualLayout>
                  <c:x val="-9.0160231062820201E-2"/>
                  <c:y val="-0.23062868880520401"/>
                </c:manualLayout>
              </c:layout>
              <c:numFmt formatCode="General" sourceLinked="0"/>
              <c:txPr>
                <a:bodyPr/>
                <a:lstStyle/>
                <a:p>
                  <a:pPr>
                    <a:defRPr>
                      <a:solidFill>
                        <a:srgbClr val="FFCE30"/>
                      </a:solidFill>
                    </a:defRPr>
                  </a:pPr>
                  <a:endParaRPr lang="en-US"/>
                </a:p>
              </c:txPr>
            </c:trendlineLbl>
          </c:trendline>
          <c:xVal>
            <c:numLit>
              <c:formatCode>General</c:formatCode>
              <c:ptCount val="4"/>
              <c:pt idx="0">
                <c:v>0.1</c:v>
              </c:pt>
              <c:pt idx="1">
                <c:v>1</c:v>
              </c:pt>
              <c:pt idx="2">
                <c:v>10</c:v>
              </c:pt>
              <c:pt idx="3">
                <c:v>100</c:v>
              </c:pt>
            </c:numLit>
          </c:xVal>
          <c:yVal>
            <c:numLit>
              <c:formatCode>0.0</c:formatCode>
              <c:ptCount val="4"/>
              <c:pt idx="0">
                <c:v>3</c:v>
              </c:pt>
              <c:pt idx="1">
                <c:v>8</c:v>
              </c:pt>
              <c:pt idx="2">
                <c:v>26</c:v>
              </c:pt>
              <c:pt idx="3">
                <c:v>80</c:v>
              </c:pt>
            </c:numLit>
          </c:yVal>
          <c:smooth val="0"/>
        </c:ser>
        <c:ser>
          <c:idx val="3"/>
          <c:order val="3"/>
          <c:tx>
            <c:v>1500 psig</c:v>
          </c:tx>
          <c:spPr>
            <a:ln w="47625">
              <a:noFill/>
            </a:ln>
            <a:effectLst/>
          </c:spPr>
          <c:marker>
            <c:symbol val="circle"/>
            <c:size val="10"/>
            <c:spPr>
              <a:solidFill>
                <a:srgbClr val="01835F"/>
              </a:solidFill>
              <a:ln>
                <a:noFill/>
              </a:ln>
              <a:effectLst/>
            </c:spPr>
          </c:marker>
          <c:trendline>
            <c:spPr>
              <a:effectLst/>
            </c:spPr>
            <c:trendlineType val="power"/>
            <c:dispRSqr val="1"/>
            <c:dispEq val="1"/>
            <c:trendlineLbl>
              <c:layout>
                <c:manualLayout>
                  <c:x val="0.122513323934945"/>
                  <c:y val="8.7590825059911004E-2"/>
                </c:manualLayout>
              </c:layout>
              <c:numFmt formatCode="General" sourceLinked="0"/>
              <c:txPr>
                <a:bodyPr/>
                <a:lstStyle/>
                <a:p>
                  <a:pPr>
                    <a:defRPr>
                      <a:solidFill>
                        <a:srgbClr val="01835F"/>
                      </a:solidFill>
                    </a:defRPr>
                  </a:pPr>
                  <a:endParaRPr lang="en-US"/>
                </a:p>
              </c:txPr>
            </c:trendlineLbl>
          </c:trendline>
          <c:xVal>
            <c:numLit>
              <c:formatCode>General</c:formatCode>
              <c:ptCount val="4"/>
              <c:pt idx="0">
                <c:v>0.1</c:v>
              </c:pt>
              <c:pt idx="1">
                <c:v>1</c:v>
              </c:pt>
              <c:pt idx="2">
                <c:v>10</c:v>
              </c:pt>
              <c:pt idx="3">
                <c:v>100</c:v>
              </c:pt>
            </c:numLit>
          </c:xVal>
          <c:yVal>
            <c:numLit>
              <c:formatCode>0.0</c:formatCode>
              <c:ptCount val="4"/>
              <c:pt idx="0">
                <c:v>2.5</c:v>
              </c:pt>
              <c:pt idx="1">
                <c:v>7</c:v>
              </c:pt>
              <c:pt idx="2">
                <c:v>24</c:v>
              </c:pt>
              <c:pt idx="3">
                <c:v>72</c:v>
              </c:pt>
            </c:numLit>
          </c:yVal>
          <c:smooth val="0"/>
        </c:ser>
        <c:dLbls>
          <c:showLegendKey val="0"/>
          <c:showVal val="0"/>
          <c:showCatName val="0"/>
          <c:showSerName val="0"/>
          <c:showPercent val="0"/>
          <c:showBubbleSize val="0"/>
        </c:dLbls>
        <c:axId val="92391552"/>
        <c:axId val="92390376"/>
      </c:scatterChart>
      <c:valAx>
        <c:axId val="92391552"/>
        <c:scaling>
          <c:orientation val="minMax"/>
        </c:scaling>
        <c:delete val="0"/>
        <c:axPos val="b"/>
        <c:title>
          <c:tx>
            <c:rich>
              <a:bodyPr/>
              <a:lstStyle/>
              <a:p>
                <a:pPr>
                  <a:defRPr b="0"/>
                </a:pPr>
                <a:r>
                  <a:rPr lang="en-US" b="0"/>
                  <a:t>Gas flow rate (MMscf/d)</a:t>
                </a:r>
              </a:p>
            </c:rich>
          </c:tx>
          <c:overlay val="0"/>
        </c:title>
        <c:numFmt formatCode="General" sourceLinked="1"/>
        <c:majorTickMark val="out"/>
        <c:minorTickMark val="none"/>
        <c:tickLblPos val="nextTo"/>
        <c:crossAx val="92390376"/>
        <c:crosses val="autoZero"/>
        <c:crossBetween val="midCat"/>
      </c:valAx>
      <c:valAx>
        <c:axId val="92390376"/>
        <c:scaling>
          <c:orientation val="minMax"/>
        </c:scaling>
        <c:delete val="0"/>
        <c:axPos val="l"/>
        <c:title>
          <c:tx>
            <c:rich>
              <a:bodyPr rot="-5400000" vert="horz"/>
              <a:lstStyle/>
              <a:p>
                <a:pPr>
                  <a:defRPr b="0"/>
                </a:pPr>
                <a:r>
                  <a:rPr lang="en-US" b="0"/>
                  <a:t>Absorber inner diameter (in.)</a:t>
                </a:r>
              </a:p>
            </c:rich>
          </c:tx>
          <c:layout>
            <c:manualLayout>
              <c:xMode val="edge"/>
              <c:yMode val="edge"/>
              <c:x val="2.69428875975656E-2"/>
              <c:y val="0.219015131804177"/>
            </c:manualLayout>
          </c:layout>
          <c:overlay val="0"/>
        </c:title>
        <c:numFmt formatCode="0" sourceLinked="0"/>
        <c:majorTickMark val="out"/>
        <c:minorTickMark val="none"/>
        <c:tickLblPos val="nextTo"/>
        <c:crossAx val="92391552"/>
        <c:crosses val="autoZero"/>
        <c:crossBetween val="midCat"/>
      </c:valAx>
      <c:spPr>
        <a:ln>
          <a:solidFill>
            <a:schemeClr val="tx1"/>
          </a:solid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12791699618333699"/>
          <c:y val="5.5144128723040003E-2"/>
          <c:w val="0.80876422652408597"/>
          <c:h val="5.4929133858267698E-2"/>
        </c:manualLayout>
      </c:layout>
      <c:overlay val="0"/>
    </c:legend>
    <c:plotVisOnly val="1"/>
    <c:dispBlanksAs val="gap"/>
    <c:showDLblsOverMax val="0"/>
  </c:chart>
  <c:spPr>
    <a:ln>
      <a:noFill/>
    </a:ln>
  </c:spPr>
  <c:txPr>
    <a:bodyPr/>
    <a:lstStyle/>
    <a:p>
      <a:pPr>
        <a:defRPr>
          <a:latin typeface="Helvetica"/>
          <a:cs typeface="Helvetica"/>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558800</xdr:colOff>
      <xdr:row>340</xdr:row>
      <xdr:rowOff>133350</xdr:rowOff>
    </xdr:from>
    <xdr:to>
      <xdr:col>7</xdr:col>
      <xdr:colOff>254000</xdr:colOff>
      <xdr:row>365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heetViews>
  <sheetFormatPr defaultColWidth="10.875" defaultRowHeight="15" x14ac:dyDescent="0.2"/>
  <cols>
    <col min="1" max="1" width="20.125" style="16" customWidth="1"/>
    <col min="2" max="2" width="22" style="16" customWidth="1"/>
    <col min="3" max="16384" width="10.875" style="16"/>
  </cols>
  <sheetData>
    <row r="1" spans="1:2" s="13" customFormat="1" ht="24" customHeight="1" x14ac:dyDescent="0.3">
      <c r="A1" s="13" t="s">
        <v>520</v>
      </c>
    </row>
    <row r="3" spans="1:2" x14ac:dyDescent="0.2">
      <c r="A3" s="16" t="s">
        <v>523</v>
      </c>
      <c r="B3" s="16" t="s">
        <v>524</v>
      </c>
    </row>
    <row r="4" spans="1:2" x14ac:dyDescent="0.2">
      <c r="B4" s="16" t="s">
        <v>525</v>
      </c>
    </row>
    <row r="6" spans="1:2" x14ac:dyDescent="0.2">
      <c r="A6" s="16" t="s">
        <v>526</v>
      </c>
      <c r="B6" s="67">
        <v>42275</v>
      </c>
    </row>
    <row r="7" spans="1:2" x14ac:dyDescent="0.2">
      <c r="A7" s="16" t="s">
        <v>527</v>
      </c>
      <c r="B7" s="16">
        <v>26</v>
      </c>
    </row>
    <row r="11" spans="1:2" x14ac:dyDescent="0.2">
      <c r="A11" s="16" t="s">
        <v>58</v>
      </c>
      <c r="B11" s="16" t="s">
        <v>521</v>
      </c>
    </row>
    <row r="12" spans="1:2" x14ac:dyDescent="0.2">
      <c r="B12" s="16" t="s">
        <v>522</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4"/>
  <sheetViews>
    <sheetView workbookViewId="0"/>
  </sheetViews>
  <sheetFormatPr defaultColWidth="10.875" defaultRowHeight="15" x14ac:dyDescent="0.2"/>
  <cols>
    <col min="1" max="1" width="11.875" style="16" customWidth="1"/>
    <col min="2" max="2" width="17.375" style="16" customWidth="1"/>
    <col min="3" max="3" width="18.375" style="16" customWidth="1"/>
    <col min="4" max="4" width="16.125" style="16" customWidth="1"/>
    <col min="5" max="5" width="14" style="16" bestFit="1" customWidth="1"/>
    <col min="6" max="6" width="13.875" style="16" customWidth="1"/>
    <col min="7" max="7" width="10.875" style="16"/>
    <col min="8" max="8" width="15.125" style="16" customWidth="1"/>
    <col min="9" max="9" width="14" style="16" customWidth="1"/>
    <col min="10" max="10" width="13.625" style="16" customWidth="1"/>
    <col min="11" max="12" width="10.875" style="16"/>
    <col min="13" max="13" width="14.5" style="16" bestFit="1" customWidth="1"/>
    <col min="14" max="14" width="18.375" style="16" bestFit="1" customWidth="1"/>
    <col min="15" max="36" width="10.875" style="16"/>
    <col min="37" max="37" width="18" style="16" customWidth="1"/>
    <col min="38" max="38" width="22.375" style="16" customWidth="1"/>
    <col min="39" max="39" width="45.125" style="16" customWidth="1"/>
    <col min="40" max="16384" width="10.875" style="16"/>
  </cols>
  <sheetData>
    <row r="1" spans="1:60" s="13" customFormat="1" ht="24" customHeight="1" x14ac:dyDescent="0.3">
      <c r="A1" s="13" t="s">
        <v>0</v>
      </c>
    </row>
    <row r="5" spans="1:60" s="15" customFormat="1" ht="15.75" x14ac:dyDescent="0.25">
      <c r="A5" s="14" t="s">
        <v>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row>
    <row r="6" spans="1:60" x14ac:dyDescent="0.2">
      <c r="M6" s="1" t="s">
        <v>2</v>
      </c>
      <c r="N6" s="1" t="s">
        <v>3</v>
      </c>
      <c r="Q6" s="1" t="s">
        <v>4</v>
      </c>
      <c r="R6" s="1"/>
      <c r="S6" s="1" t="s">
        <v>5</v>
      </c>
    </row>
    <row r="7" spans="1:60" x14ac:dyDescent="0.2">
      <c r="A7" s="16" t="s">
        <v>6</v>
      </c>
      <c r="M7" s="17">
        <v>0</v>
      </c>
      <c r="N7" s="18">
        <v>0</v>
      </c>
    </row>
    <row r="9" spans="1:60" x14ac:dyDescent="0.2">
      <c r="A9" s="16" t="s">
        <v>558</v>
      </c>
      <c r="M9" s="17">
        <v>1</v>
      </c>
      <c r="N9" s="18">
        <v>1</v>
      </c>
    </row>
    <row r="10" spans="1:60" ht="15.75" x14ac:dyDescent="0.25">
      <c r="V10"/>
      <c r="W10"/>
    </row>
    <row r="11" spans="1:60" x14ac:dyDescent="0.2">
      <c r="A11" s="16" t="s">
        <v>7</v>
      </c>
      <c r="T11" s="74" t="s">
        <v>531</v>
      </c>
      <c r="U11" s="76"/>
      <c r="V11" s="76"/>
      <c r="W11" s="75"/>
      <c r="X11" s="74" t="s">
        <v>532</v>
      </c>
      <c r="Y11" s="76"/>
      <c r="Z11" s="76"/>
      <c r="AA11" s="75"/>
    </row>
    <row r="12" spans="1:60" ht="15.75" x14ac:dyDescent="0.25">
      <c r="C12" s="74" t="s">
        <v>502</v>
      </c>
      <c r="D12" s="75"/>
      <c r="E12" s="74" t="s">
        <v>513</v>
      </c>
      <c r="F12" s="75"/>
      <c r="T12" s="74" t="s">
        <v>499</v>
      </c>
      <c r="U12" s="75"/>
      <c r="V12" s="74" t="s">
        <v>500</v>
      </c>
      <c r="W12" s="75"/>
      <c r="X12" s="74" t="s">
        <v>499</v>
      </c>
      <c r="Y12" s="75"/>
      <c r="Z12" s="74" t="s">
        <v>500</v>
      </c>
      <c r="AA12" s="75"/>
      <c r="AK12" s="42" t="s">
        <v>554</v>
      </c>
    </row>
    <row r="13" spans="1:60" ht="39" x14ac:dyDescent="0.25">
      <c r="B13" s="19" t="s">
        <v>8</v>
      </c>
      <c r="C13" s="19" t="s">
        <v>501</v>
      </c>
      <c r="D13" s="19" t="s">
        <v>9</v>
      </c>
      <c r="E13" s="19" t="s">
        <v>512</v>
      </c>
      <c r="F13" s="19" t="s">
        <v>511</v>
      </c>
      <c r="S13" s="19" t="s">
        <v>8</v>
      </c>
      <c r="T13" s="19" t="s">
        <v>501</v>
      </c>
      <c r="U13" s="19" t="s">
        <v>9</v>
      </c>
      <c r="V13" s="19" t="s">
        <v>501</v>
      </c>
      <c r="W13" s="19" t="s">
        <v>9</v>
      </c>
      <c r="X13" s="19" t="s">
        <v>533</v>
      </c>
      <c r="Y13" s="19" t="s">
        <v>511</v>
      </c>
      <c r="Z13" s="19" t="s">
        <v>533</v>
      </c>
      <c r="AA13" s="19" t="s">
        <v>511</v>
      </c>
      <c r="AK13" s="42" t="s">
        <v>534</v>
      </c>
      <c r="AL13" s="42" t="s">
        <v>535</v>
      </c>
      <c r="AM13" s="42" t="s">
        <v>536</v>
      </c>
      <c r="AN13" s="42" t="s">
        <v>291</v>
      </c>
    </row>
    <row r="14" spans="1:60" x14ac:dyDescent="0.2">
      <c r="B14" s="20" t="s">
        <v>10</v>
      </c>
      <c r="C14" s="21">
        <f>IF($M$9=1,V14,IF($M$9=2,T14,"ERROR"))</f>
        <v>128.15700249606033</v>
      </c>
      <c r="D14" s="65">
        <f>IF($M$9=1,W14,IF($M$9=2,U14,"ERROR"))</f>
        <v>1.4528548198962021E-3</v>
      </c>
      <c r="E14" s="35">
        <f>C14*2.204</f>
        <v>282.458033501317</v>
      </c>
      <c r="F14" s="66">
        <f>D14*2.204*1055.05</f>
        <v>3.3783671889201998</v>
      </c>
      <c r="S14" s="20" t="s">
        <v>10</v>
      </c>
      <c r="T14" s="68">
        <v>0</v>
      </c>
      <c r="U14" s="69">
        <v>0</v>
      </c>
      <c r="V14" s="22">
        <f>Z14/2.204</f>
        <v>128.15700249606033</v>
      </c>
      <c r="W14" s="23">
        <f>AA14/1055.05/2.204</f>
        <v>1.4528548198962021E-3</v>
      </c>
      <c r="X14" s="35">
        <f>T14*2.204</f>
        <v>0</v>
      </c>
      <c r="Y14" s="66">
        <f>U14*1055.05*2.204</f>
        <v>0</v>
      </c>
      <c r="Z14" s="35">
        <v>282.458033501317</v>
      </c>
      <c r="AA14" s="66">
        <v>3.3783671889201994</v>
      </c>
      <c r="AB14" s="16" t="s">
        <v>509</v>
      </c>
      <c r="AK14" s="16" t="s">
        <v>10</v>
      </c>
      <c r="AL14" s="16" t="s">
        <v>537</v>
      </c>
      <c r="AM14" s="16" t="s">
        <v>541</v>
      </c>
    </row>
    <row r="15" spans="1:60" x14ac:dyDescent="0.2">
      <c r="B15" s="20" t="s">
        <v>11</v>
      </c>
      <c r="C15" s="21">
        <f t="shared" ref="C15:C21" si="0">IF($M$9=1,V15,IF($M$9=2,T15,"ERROR"))</f>
        <v>14.279306817939656</v>
      </c>
      <c r="D15" s="65">
        <f t="shared" ref="D15:D21" si="1">IF($M$9=1,W15,IF($M$9=2,U15,"ERROR"))</f>
        <v>1.9265438327624549E-4</v>
      </c>
      <c r="E15" s="35">
        <f t="shared" ref="E15:E21" si="2">C15*2.204</f>
        <v>31.471592226739002</v>
      </c>
      <c r="F15" s="66">
        <f t="shared" ref="F15:F21" si="3">D15*2.204*1055.05</f>
        <v>0.44798505559462859</v>
      </c>
      <c r="S15" s="20" t="s">
        <v>11</v>
      </c>
      <c r="T15" s="70">
        <v>0</v>
      </c>
      <c r="U15" s="71">
        <v>0</v>
      </c>
      <c r="V15" s="22">
        <f t="shared" ref="V15:V21" si="4">Z15/2.204</f>
        <v>14.279306817939656</v>
      </c>
      <c r="W15" s="23">
        <f t="shared" ref="W15:W21" si="5">AA15/1055.05/2.204</f>
        <v>1.9265438327624549E-4</v>
      </c>
      <c r="X15" s="35">
        <f t="shared" ref="X15:X21" si="6">T15*2.204</f>
        <v>0</v>
      </c>
      <c r="Y15" s="66">
        <f t="shared" ref="Y15:Y21" si="7">U15*1055.05*2.204</f>
        <v>0</v>
      </c>
      <c r="Z15" s="35">
        <v>31.471592226739002</v>
      </c>
      <c r="AA15" s="66">
        <v>0.44798505559462859</v>
      </c>
      <c r="AB15" s="16" t="s">
        <v>510</v>
      </c>
      <c r="AK15" s="16" t="s">
        <v>538</v>
      </c>
      <c r="AL15" s="16" t="s">
        <v>539</v>
      </c>
      <c r="AM15" s="16" t="s">
        <v>540</v>
      </c>
    </row>
    <row r="16" spans="1:60" x14ac:dyDescent="0.2">
      <c r="B16" s="20" t="s">
        <v>607</v>
      </c>
      <c r="C16" s="21">
        <f t="shared" ref="C16" si="8">IF($M$9=1,V16,IF($M$9=2,T16,"ERROR"))</f>
        <v>279.67332123411973</v>
      </c>
      <c r="D16" s="65">
        <f t="shared" ref="D16" si="9">IF($M$9=1,W16,IF($M$9=2,U16,"ERROR"))</f>
        <v>4.3456193877325468E-3</v>
      </c>
      <c r="E16" s="35">
        <f t="shared" ref="E16" si="10">C16*2.204</f>
        <v>616.4</v>
      </c>
      <c r="F16" s="66">
        <f t="shared" ref="F16" si="11">D16*2.204*1055.05</f>
        <v>10.105</v>
      </c>
      <c r="S16" s="20" t="s">
        <v>608</v>
      </c>
      <c r="T16" s="70">
        <v>400.3</v>
      </c>
      <c r="U16" s="71">
        <v>4.2313100000000003E-3</v>
      </c>
      <c r="V16" s="22">
        <f t="shared" ref="V16" si="12">Z16/2.204</f>
        <v>279.67332123411973</v>
      </c>
      <c r="W16" s="23">
        <f t="shared" ref="W16" si="13">AA16/1055.05/2.204</f>
        <v>4.3456193877325468E-3</v>
      </c>
      <c r="X16" s="35">
        <f t="shared" ref="X16" si="14">T16*2.204</f>
        <v>882.26120000000014</v>
      </c>
      <c r="Y16" s="66">
        <f t="shared" ref="Y16" si="15">U16*1055.05*2.204</f>
        <v>9.8391929285620012</v>
      </c>
      <c r="Z16" s="35">
        <v>616.4</v>
      </c>
      <c r="AA16" s="66">
        <v>10.105</v>
      </c>
    </row>
    <row r="17" spans="1:60" x14ac:dyDescent="0.2">
      <c r="B17" s="20" t="s">
        <v>12</v>
      </c>
      <c r="C17" s="21">
        <f t="shared" si="0"/>
        <v>556.7069222344054</v>
      </c>
      <c r="D17" s="65">
        <f t="shared" si="1"/>
        <v>2.3579802002618461E-3</v>
      </c>
      <c r="E17" s="35">
        <f t="shared" si="2"/>
        <v>1226.9820566046296</v>
      </c>
      <c r="F17" s="66">
        <f t="shared" si="3"/>
        <v>5.483082570670919</v>
      </c>
      <c r="S17" s="20" t="s">
        <v>12</v>
      </c>
      <c r="T17" s="70">
        <v>857</v>
      </c>
      <c r="U17" s="71">
        <v>2.5000000000000001E-3</v>
      </c>
      <c r="V17" s="22">
        <f t="shared" si="4"/>
        <v>556.7069222344054</v>
      </c>
      <c r="W17" s="23">
        <f t="shared" si="5"/>
        <v>2.3579802002618461E-3</v>
      </c>
      <c r="X17" s="35">
        <f t="shared" si="6"/>
        <v>1888.8280000000002</v>
      </c>
      <c r="Y17" s="66">
        <f t="shared" si="7"/>
        <v>5.8133255000000004</v>
      </c>
      <c r="Z17" s="35">
        <v>1226.9820566046296</v>
      </c>
      <c r="AA17" s="66">
        <v>5.483082570670919</v>
      </c>
      <c r="AB17" s="16" t="s">
        <v>529</v>
      </c>
      <c r="AK17" s="16" t="s">
        <v>542</v>
      </c>
      <c r="AL17" s="16" t="s">
        <v>543</v>
      </c>
      <c r="AM17" s="16" t="s">
        <v>544</v>
      </c>
      <c r="AN17" s="16" t="s">
        <v>555</v>
      </c>
    </row>
    <row r="18" spans="1:60" x14ac:dyDescent="0.2">
      <c r="B18" s="20" t="s">
        <v>13</v>
      </c>
      <c r="C18" s="21">
        <f t="shared" si="0"/>
        <v>1.9950134778539024</v>
      </c>
      <c r="D18" s="65">
        <f t="shared" si="1"/>
        <v>2.3484749309770306E-5</v>
      </c>
      <c r="E18" s="35">
        <f t="shared" si="2"/>
        <v>4.3970097051900012</v>
      </c>
      <c r="F18" s="66">
        <f t="shared" si="3"/>
        <v>5.4609796809438046E-2</v>
      </c>
      <c r="S18" s="20" t="s">
        <v>13</v>
      </c>
      <c r="T18" s="70">
        <v>0</v>
      </c>
      <c r="U18" s="71">
        <v>0</v>
      </c>
      <c r="V18" s="22">
        <f t="shared" si="4"/>
        <v>1.9950134778539024</v>
      </c>
      <c r="W18" s="23">
        <f t="shared" si="5"/>
        <v>2.3484749309770306E-5</v>
      </c>
      <c r="X18" s="35">
        <f t="shared" si="6"/>
        <v>0</v>
      </c>
      <c r="Y18" s="66">
        <f t="shared" si="7"/>
        <v>0</v>
      </c>
      <c r="Z18" s="35">
        <v>4.3970097051900012</v>
      </c>
      <c r="AA18" s="66">
        <v>5.4609796809438046E-2</v>
      </c>
      <c r="AB18" s="16" t="s">
        <v>530</v>
      </c>
      <c r="AK18" s="16" t="s">
        <v>545</v>
      </c>
      <c r="AL18" s="16" t="s">
        <v>546</v>
      </c>
      <c r="AM18" s="16" t="s">
        <v>547</v>
      </c>
      <c r="AN18" s="16" t="s">
        <v>556</v>
      </c>
    </row>
    <row r="19" spans="1:60" x14ac:dyDescent="0.2">
      <c r="B19" s="20" t="s">
        <v>14</v>
      </c>
      <c r="C19" s="21">
        <f t="shared" si="0"/>
        <v>1246.7579563073955</v>
      </c>
      <c r="D19" s="65">
        <f t="shared" si="1"/>
        <v>1.1932721110984536E-2</v>
      </c>
      <c r="E19" s="35">
        <f t="shared" si="2"/>
        <v>2747.8545357015</v>
      </c>
      <c r="F19" s="66">
        <f t="shared" si="3"/>
        <v>27.747516767549897</v>
      </c>
      <c r="S19" s="20" t="s">
        <v>14</v>
      </c>
      <c r="T19" s="70">
        <v>1821</v>
      </c>
      <c r="U19" s="71">
        <v>1.9900000000000001E-2</v>
      </c>
      <c r="V19" s="22">
        <f t="shared" si="4"/>
        <v>1246.7579563073955</v>
      </c>
      <c r="W19" s="23">
        <f t="shared" si="5"/>
        <v>1.1932721110984536E-2</v>
      </c>
      <c r="X19" s="35">
        <f t="shared" si="6"/>
        <v>4013.4840000000004</v>
      </c>
      <c r="Y19" s="66">
        <f t="shared" si="7"/>
        <v>46.274070980000005</v>
      </c>
      <c r="Z19" s="35">
        <v>2747.8545357015</v>
      </c>
      <c r="AA19" s="66">
        <v>27.747516767549897</v>
      </c>
      <c r="AK19" s="16" t="s">
        <v>548</v>
      </c>
      <c r="AL19" s="16" t="s">
        <v>549</v>
      </c>
      <c r="AM19" s="16" t="s">
        <v>550</v>
      </c>
    </row>
    <row r="20" spans="1:60" x14ac:dyDescent="0.2">
      <c r="B20" s="20" t="s">
        <v>15</v>
      </c>
      <c r="C20" s="21">
        <f t="shared" si="0"/>
        <v>1032.9887488506802</v>
      </c>
      <c r="D20" s="65">
        <f t="shared" si="1"/>
        <v>9.5197849936601367E-3</v>
      </c>
      <c r="E20" s="35">
        <f t="shared" si="2"/>
        <v>2276.7072024668992</v>
      </c>
      <c r="F20" s="66">
        <f t="shared" si="3"/>
        <v>22.136643543264725</v>
      </c>
      <c r="S20" s="20" t="s">
        <v>15</v>
      </c>
      <c r="T20" s="70">
        <v>1821</v>
      </c>
      <c r="U20" s="71">
        <v>1.9900000000000001E-2</v>
      </c>
      <c r="V20" s="22">
        <f t="shared" si="4"/>
        <v>1032.9887488506802</v>
      </c>
      <c r="W20" s="23">
        <f t="shared" si="5"/>
        <v>9.5197849936601367E-3</v>
      </c>
      <c r="X20" s="35">
        <f t="shared" si="6"/>
        <v>4013.4840000000004</v>
      </c>
      <c r="Y20" s="66">
        <f t="shared" si="7"/>
        <v>46.274070980000005</v>
      </c>
      <c r="Z20" s="35">
        <v>2276.7072024668992</v>
      </c>
      <c r="AA20" s="66">
        <v>22.136643543264725</v>
      </c>
      <c r="AK20" s="16" t="s">
        <v>14</v>
      </c>
      <c r="AL20" s="16" t="s">
        <v>551</v>
      </c>
      <c r="AM20" s="16" t="s">
        <v>552</v>
      </c>
      <c r="AN20" s="16" t="s">
        <v>557</v>
      </c>
    </row>
    <row r="21" spans="1:60" x14ac:dyDescent="0.2">
      <c r="B21" s="20" t="s">
        <v>16</v>
      </c>
      <c r="C21" s="21">
        <f t="shared" si="0"/>
        <v>2.7154732764531762</v>
      </c>
      <c r="D21" s="65">
        <f t="shared" si="1"/>
        <v>3.1383693216228501E-5</v>
      </c>
      <c r="E21" s="35">
        <f t="shared" si="2"/>
        <v>5.9849031013028009</v>
      </c>
      <c r="F21" s="66">
        <f t="shared" si="3"/>
        <v>7.2977449623231258E-2</v>
      </c>
      <c r="S21" s="20" t="s">
        <v>16</v>
      </c>
      <c r="T21" s="70">
        <v>0</v>
      </c>
      <c r="U21" s="71">
        <v>0</v>
      </c>
      <c r="V21" s="22">
        <f t="shared" si="4"/>
        <v>2.7154732764531762</v>
      </c>
      <c r="W21" s="23">
        <f t="shared" si="5"/>
        <v>3.1383693216228501E-5</v>
      </c>
      <c r="X21" s="35">
        <f t="shared" si="6"/>
        <v>0</v>
      </c>
      <c r="Y21" s="66">
        <f t="shared" si="7"/>
        <v>0</v>
      </c>
      <c r="Z21" s="35">
        <v>5.9849031013028009</v>
      </c>
      <c r="AA21" s="66">
        <v>7.2977449623231258E-2</v>
      </c>
      <c r="AK21" s="16" t="s">
        <v>15</v>
      </c>
      <c r="AL21" s="16" t="s">
        <v>551</v>
      </c>
      <c r="AM21" s="16" t="s">
        <v>553</v>
      </c>
    </row>
    <row r="23" spans="1:60" ht="18" x14ac:dyDescent="0.2">
      <c r="A23" s="16" t="s">
        <v>17</v>
      </c>
      <c r="M23" s="24">
        <v>0.3</v>
      </c>
      <c r="N23" s="25">
        <v>0.3</v>
      </c>
      <c r="O23" s="16" t="s">
        <v>18</v>
      </c>
      <c r="Q23" s="3" t="s">
        <v>19</v>
      </c>
    </row>
    <row r="24" spans="1:60" x14ac:dyDescent="0.2">
      <c r="X24" s="72"/>
      <c r="Y24" s="72"/>
    </row>
    <row r="25" spans="1:60" x14ac:dyDescent="0.2">
      <c r="X25" s="47"/>
      <c r="Y25" s="47"/>
    </row>
    <row r="27" spans="1:60" s="27" customFormat="1" ht="15.75" x14ac:dyDescent="0.25">
      <c r="A27" s="26" t="s">
        <v>20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row>
    <row r="28" spans="1:60" s="28" customFormat="1" ht="15.7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row>
    <row r="29" spans="1:60" x14ac:dyDescent="0.2">
      <c r="A29" s="16" t="s">
        <v>21</v>
      </c>
      <c r="M29" s="1" t="s">
        <v>2</v>
      </c>
      <c r="N29" s="1" t="s">
        <v>3</v>
      </c>
    </row>
    <row r="30" spans="1:60" x14ac:dyDescent="0.2">
      <c r="B30" s="16" t="s">
        <v>22</v>
      </c>
      <c r="M30" s="24">
        <v>2</v>
      </c>
      <c r="N30" s="25">
        <v>2</v>
      </c>
    </row>
    <row r="31" spans="1:60" x14ac:dyDescent="0.2">
      <c r="B31" s="16" t="s">
        <v>23</v>
      </c>
      <c r="M31" s="24">
        <v>2</v>
      </c>
      <c r="N31" s="25">
        <v>2</v>
      </c>
    </row>
    <row r="32" spans="1:60" x14ac:dyDescent="0.2">
      <c r="B32" s="16" t="s">
        <v>24</v>
      </c>
      <c r="M32" s="24">
        <v>2</v>
      </c>
      <c r="N32" s="25">
        <v>2</v>
      </c>
    </row>
    <row r="33" spans="1:14" x14ac:dyDescent="0.2">
      <c r="B33" s="16" t="s">
        <v>25</v>
      </c>
      <c r="M33" s="24">
        <v>2</v>
      </c>
      <c r="N33" s="25">
        <v>2</v>
      </c>
    </row>
    <row r="37" spans="1:14" x14ac:dyDescent="0.2">
      <c r="A37" s="16" t="s">
        <v>26</v>
      </c>
    </row>
    <row r="38" spans="1:14" x14ac:dyDescent="0.2">
      <c r="B38" s="16" t="s">
        <v>27</v>
      </c>
    </row>
    <row r="39" spans="1:14" x14ac:dyDescent="0.2">
      <c r="B39" s="74" t="s">
        <v>28</v>
      </c>
      <c r="C39" s="75"/>
      <c r="D39" s="3" t="s">
        <v>29</v>
      </c>
    </row>
    <row r="40" spans="1:14" x14ac:dyDescent="0.2">
      <c r="B40" s="19" t="s">
        <v>30</v>
      </c>
      <c r="C40" s="19" t="s">
        <v>31</v>
      </c>
      <c r="D40" s="3" t="s">
        <v>32</v>
      </c>
    </row>
    <row r="41" spans="1:14" x14ac:dyDescent="0.2">
      <c r="B41" s="29">
        <v>4.5</v>
      </c>
      <c r="C41" s="29">
        <f>6+1/8</f>
        <v>6.125</v>
      </c>
      <c r="D41" s="3" t="s">
        <v>33</v>
      </c>
    </row>
    <row r="42" spans="1:14" x14ac:dyDescent="0.2">
      <c r="B42" s="29">
        <v>5</v>
      </c>
      <c r="C42" s="29">
        <f>6.5</f>
        <v>6.5</v>
      </c>
      <c r="D42" s="3" t="s">
        <v>34</v>
      </c>
    </row>
    <row r="43" spans="1:14" x14ac:dyDescent="0.2">
      <c r="B43" s="29">
        <v>5.5</v>
      </c>
      <c r="C43" s="29">
        <f>7+7/8</f>
        <v>7.875</v>
      </c>
      <c r="D43" s="3" t="s">
        <v>35</v>
      </c>
    </row>
    <row r="44" spans="1:14" x14ac:dyDescent="0.2">
      <c r="B44" s="29">
        <f>6+5/8</f>
        <v>6.625</v>
      </c>
      <c r="C44" s="29">
        <v>8.5</v>
      </c>
    </row>
    <row r="45" spans="1:14" x14ac:dyDescent="0.2">
      <c r="B45" s="29">
        <f>7</f>
        <v>7</v>
      </c>
      <c r="C45" s="29">
        <v>8.75</v>
      </c>
      <c r="D45" s="30"/>
      <c r="E45" s="30"/>
      <c r="F45" s="30"/>
    </row>
    <row r="46" spans="1:14" x14ac:dyDescent="0.2">
      <c r="B46" s="29">
        <f>7+5/8</f>
        <v>7.625</v>
      </c>
      <c r="C46" s="29">
        <v>9.5</v>
      </c>
      <c r="D46" s="30"/>
      <c r="E46" s="30"/>
      <c r="F46" s="30"/>
    </row>
    <row r="47" spans="1:14" x14ac:dyDescent="0.2">
      <c r="B47" s="29">
        <f>8+5/8</f>
        <v>8.625</v>
      </c>
      <c r="C47" s="29">
        <f>10+5/8</f>
        <v>10.625</v>
      </c>
      <c r="D47" s="30"/>
      <c r="E47" s="30"/>
      <c r="F47" s="30"/>
    </row>
    <row r="48" spans="1:14" x14ac:dyDescent="0.2">
      <c r="B48" s="29">
        <f>9+5/8</f>
        <v>9.625</v>
      </c>
      <c r="C48" s="29">
        <v>12.25</v>
      </c>
      <c r="D48" s="30"/>
      <c r="E48" s="30"/>
      <c r="F48" s="30"/>
    </row>
    <row r="49" spans="2:15" x14ac:dyDescent="0.2">
      <c r="B49" s="29">
        <v>10.75</v>
      </c>
      <c r="C49" s="29">
        <f>14.75</f>
        <v>14.75</v>
      </c>
      <c r="D49" s="30"/>
      <c r="E49" s="30"/>
      <c r="F49" s="30"/>
    </row>
    <row r="50" spans="2:15" x14ac:dyDescent="0.2">
      <c r="B50" s="29">
        <v>11.75</v>
      </c>
      <c r="C50" s="29">
        <v>14.75</v>
      </c>
      <c r="D50" s="30"/>
      <c r="E50" s="30"/>
      <c r="F50" s="30"/>
    </row>
    <row r="51" spans="2:15" x14ac:dyDescent="0.2">
      <c r="B51" s="29">
        <f>13+3/8</f>
        <v>13.375</v>
      </c>
      <c r="C51" s="29">
        <v>17.5</v>
      </c>
      <c r="D51" s="30"/>
      <c r="E51" s="30"/>
      <c r="F51" s="30"/>
    </row>
    <row r="52" spans="2:15" x14ac:dyDescent="0.2">
      <c r="B52" s="29">
        <v>16</v>
      </c>
      <c r="C52" s="29">
        <v>20</v>
      </c>
      <c r="D52" s="30"/>
      <c r="E52" s="30"/>
      <c r="F52" s="30"/>
    </row>
    <row r="53" spans="2:15" x14ac:dyDescent="0.2">
      <c r="B53" s="29">
        <v>20</v>
      </c>
      <c r="C53" s="29">
        <v>26</v>
      </c>
      <c r="D53" s="30"/>
      <c r="E53" s="30"/>
      <c r="F53" s="30"/>
    </row>
    <row r="54" spans="2:15" x14ac:dyDescent="0.2">
      <c r="B54" s="29">
        <v>24</v>
      </c>
      <c r="C54" s="29">
        <f>B54+6</f>
        <v>30</v>
      </c>
      <c r="D54" s="30"/>
      <c r="E54" s="30"/>
      <c r="F54" s="30"/>
    </row>
    <row r="55" spans="2:15" x14ac:dyDescent="0.2">
      <c r="B55" s="29">
        <v>30</v>
      </c>
      <c r="C55" s="29">
        <f>B55+6</f>
        <v>36</v>
      </c>
      <c r="D55" s="30"/>
      <c r="E55" s="30"/>
      <c r="F55" s="30"/>
    </row>
    <row r="56" spans="2:15" x14ac:dyDescent="0.2">
      <c r="C56" s="30"/>
      <c r="D56" s="30"/>
      <c r="E56" s="30"/>
      <c r="F56" s="30"/>
    </row>
    <row r="57" spans="2:15" x14ac:dyDescent="0.2">
      <c r="C57" s="30"/>
      <c r="D57" s="30"/>
      <c r="E57" s="30"/>
      <c r="F57" s="30"/>
    </row>
    <row r="58" spans="2:15" x14ac:dyDescent="0.2">
      <c r="B58" s="31" t="s">
        <v>36</v>
      </c>
    </row>
    <row r="59" spans="2:15" x14ac:dyDescent="0.2">
      <c r="B59" s="19"/>
      <c r="C59" s="74" t="s">
        <v>37</v>
      </c>
      <c r="D59" s="76"/>
      <c r="E59" s="75"/>
      <c r="F59" s="74" t="s">
        <v>38</v>
      </c>
      <c r="G59" s="76"/>
      <c r="H59" s="75"/>
      <c r="I59" s="74" t="s">
        <v>39</v>
      </c>
      <c r="J59" s="76"/>
      <c r="K59" s="75"/>
      <c r="L59" s="74" t="s">
        <v>40</v>
      </c>
      <c r="M59" s="76"/>
      <c r="N59" s="75"/>
      <c r="O59" s="3" t="s">
        <v>29</v>
      </c>
    </row>
    <row r="60" spans="2:15" ht="25.5" x14ac:dyDescent="0.2">
      <c r="B60" s="19" t="s">
        <v>41</v>
      </c>
      <c r="C60" s="19" t="s">
        <v>42</v>
      </c>
      <c r="D60" s="19" t="s">
        <v>43</v>
      </c>
      <c r="E60" s="19" t="s">
        <v>44</v>
      </c>
      <c r="F60" s="19" t="s">
        <v>42</v>
      </c>
      <c r="G60" s="19" t="s">
        <v>43</v>
      </c>
      <c r="H60" s="19" t="s">
        <v>44</v>
      </c>
      <c r="I60" s="19" t="s">
        <v>42</v>
      </c>
      <c r="J60" s="19" t="s">
        <v>43</v>
      </c>
      <c r="K60" s="19" t="s">
        <v>44</v>
      </c>
      <c r="L60" s="19" t="s">
        <v>42</v>
      </c>
      <c r="M60" s="19" t="s">
        <v>43</v>
      </c>
      <c r="N60" s="19" t="s">
        <v>44</v>
      </c>
      <c r="O60" s="3" t="s">
        <v>45</v>
      </c>
    </row>
    <row r="61" spans="2:15" x14ac:dyDescent="0.2">
      <c r="B61" s="32" t="s">
        <v>46</v>
      </c>
      <c r="C61" s="29">
        <f>B55</f>
        <v>30</v>
      </c>
      <c r="D61" s="29">
        <f>C55</f>
        <v>36</v>
      </c>
      <c r="E61" s="32">
        <v>200</v>
      </c>
      <c r="F61" s="21">
        <f>B53</f>
        <v>20</v>
      </c>
      <c r="G61" s="21">
        <f>C53</f>
        <v>26</v>
      </c>
      <c r="H61" s="21">
        <v>50</v>
      </c>
      <c r="I61" s="29">
        <f>B50</f>
        <v>11.75</v>
      </c>
      <c r="J61" s="29">
        <f>C50</f>
        <v>14.75</v>
      </c>
      <c r="K61" s="32">
        <f>220*3.28</f>
        <v>721.59999999999991</v>
      </c>
      <c r="L61" s="29"/>
      <c r="M61" s="29"/>
      <c r="N61" s="32"/>
      <c r="O61" s="3" t="s">
        <v>47</v>
      </c>
    </row>
    <row r="62" spans="2:15" x14ac:dyDescent="0.2">
      <c r="B62" s="32" t="s">
        <v>48</v>
      </c>
      <c r="C62" s="29">
        <f>B53</f>
        <v>20</v>
      </c>
      <c r="D62" s="29">
        <f>C53</f>
        <v>26</v>
      </c>
      <c r="E62" s="32">
        <v>600</v>
      </c>
      <c r="F62" s="21"/>
      <c r="G62" s="21"/>
      <c r="H62" s="21">
        <v>0</v>
      </c>
      <c r="I62" s="29"/>
      <c r="J62" s="29"/>
      <c r="K62" s="32">
        <v>0</v>
      </c>
      <c r="L62" s="29"/>
      <c r="M62" s="29"/>
      <c r="N62" s="32"/>
      <c r="O62" s="3" t="s">
        <v>49</v>
      </c>
    </row>
    <row r="63" spans="2:15" x14ac:dyDescent="0.2">
      <c r="B63" s="32" t="s">
        <v>50</v>
      </c>
      <c r="C63" s="29">
        <f>B51</f>
        <v>13.375</v>
      </c>
      <c r="D63" s="29">
        <f>C51</f>
        <v>17.5</v>
      </c>
      <c r="E63" s="32">
        <v>4000</v>
      </c>
      <c r="F63" s="21">
        <f>B50</f>
        <v>11.75</v>
      </c>
      <c r="G63" s="21">
        <f>C50</f>
        <v>14.75</v>
      </c>
      <c r="H63" s="21">
        <v>1000</v>
      </c>
      <c r="I63" s="29"/>
      <c r="J63" s="29"/>
      <c r="K63" s="32"/>
      <c r="L63" s="29"/>
      <c r="M63" s="29"/>
      <c r="N63" s="32"/>
    </row>
    <row r="64" spans="2:15" x14ac:dyDescent="0.2">
      <c r="B64" s="32" t="s">
        <v>51</v>
      </c>
      <c r="C64" s="29">
        <f>B48</f>
        <v>9.625</v>
      </c>
      <c r="D64" s="29">
        <f>C48</f>
        <v>12.25</v>
      </c>
      <c r="E64" s="32">
        <v>13000</v>
      </c>
      <c r="F64" s="21"/>
      <c r="G64" s="21"/>
      <c r="H64" s="21"/>
      <c r="I64" s="29"/>
      <c r="J64" s="29"/>
      <c r="K64" s="32">
        <v>0</v>
      </c>
      <c r="L64" s="29"/>
      <c r="M64" s="29"/>
      <c r="N64" s="32"/>
    </row>
    <row r="65" spans="1:14" x14ac:dyDescent="0.2">
      <c r="B65" s="32" t="s">
        <v>52</v>
      </c>
      <c r="C65" s="29">
        <f>B46</f>
        <v>7.625</v>
      </c>
      <c r="D65" s="29">
        <f>C46</f>
        <v>9.5</v>
      </c>
      <c r="E65" s="32">
        <f>17000-13000</f>
        <v>4000</v>
      </c>
      <c r="F65" s="21">
        <f>B45</f>
        <v>7</v>
      </c>
      <c r="G65" s="21">
        <f>C45</f>
        <v>8.75</v>
      </c>
      <c r="H65" s="21">
        <f>'Required OPGEE data'!C7</f>
        <v>7240</v>
      </c>
      <c r="I65" s="29">
        <f>B41</f>
        <v>4.5</v>
      </c>
      <c r="J65" s="29">
        <f>C41</f>
        <v>6.125</v>
      </c>
      <c r="K65" s="32">
        <f>1850*3.28</f>
        <v>6068</v>
      </c>
      <c r="L65" s="29"/>
      <c r="M65" s="29"/>
      <c r="N65" s="32"/>
    </row>
    <row r="66" spans="1:14" x14ac:dyDescent="0.2">
      <c r="B66" s="32" t="s">
        <v>53</v>
      </c>
      <c r="C66" s="29">
        <v>4.5</v>
      </c>
      <c r="D66" s="29">
        <f>C42</f>
        <v>6.5</v>
      </c>
      <c r="E66" s="32">
        <v>20000</v>
      </c>
      <c r="F66" s="21">
        <f>2+3/8</f>
        <v>2.375</v>
      </c>
      <c r="G66" s="21">
        <v>6</v>
      </c>
      <c r="H66" s="21">
        <f>'Required OPGEE data'!C7</f>
        <v>7240</v>
      </c>
      <c r="I66" s="29">
        <f>B98</f>
        <v>2.375</v>
      </c>
      <c r="J66" s="29">
        <f>C41</f>
        <v>6.125</v>
      </c>
      <c r="K66" s="32">
        <f>1900*3.28</f>
        <v>6232</v>
      </c>
      <c r="L66" s="29"/>
      <c r="M66" s="29"/>
      <c r="N66" s="32"/>
    </row>
    <row r="70" spans="1:14" x14ac:dyDescent="0.2">
      <c r="A70" s="16" t="s">
        <v>54</v>
      </c>
    </row>
    <row r="71" spans="1:14" x14ac:dyDescent="0.2">
      <c r="B71" s="16" t="s">
        <v>55</v>
      </c>
    </row>
    <row r="72" spans="1:14" s="33" customFormat="1" x14ac:dyDescent="0.2">
      <c r="B72" s="19" t="s">
        <v>56</v>
      </c>
      <c r="C72" s="74" t="s">
        <v>57</v>
      </c>
      <c r="D72" s="76"/>
      <c r="E72" s="75"/>
      <c r="F72" s="3" t="s">
        <v>58</v>
      </c>
    </row>
    <row r="73" spans="1:14" x14ac:dyDescent="0.2">
      <c r="B73" s="20"/>
      <c r="C73" s="20" t="s">
        <v>59</v>
      </c>
      <c r="D73" s="20" t="s">
        <v>60</v>
      </c>
      <c r="E73" s="20" t="s">
        <v>61</v>
      </c>
      <c r="F73" s="3" t="s">
        <v>62</v>
      </c>
    </row>
    <row r="74" spans="1:14" x14ac:dyDescent="0.2">
      <c r="B74" s="29">
        <v>4.5</v>
      </c>
      <c r="C74" s="20">
        <v>9.5</v>
      </c>
      <c r="D74" s="20">
        <v>11.275</v>
      </c>
      <c r="E74" s="20">
        <v>13.5</v>
      </c>
      <c r="F74" s="3" t="s">
        <v>63</v>
      </c>
    </row>
    <row r="75" spans="1:14" x14ac:dyDescent="0.2">
      <c r="B75" s="29">
        <v>5</v>
      </c>
      <c r="C75" s="20">
        <v>11.5</v>
      </c>
      <c r="D75" s="20">
        <v>14.375</v>
      </c>
      <c r="E75" s="20">
        <v>18</v>
      </c>
      <c r="F75" s="3" t="s">
        <v>64</v>
      </c>
    </row>
    <row r="76" spans="1:14" x14ac:dyDescent="0.2">
      <c r="B76" s="29">
        <v>5.5</v>
      </c>
      <c r="C76" s="20">
        <v>13</v>
      </c>
      <c r="D76" s="20">
        <v>17.083333333333332</v>
      </c>
      <c r="E76" s="20">
        <v>23</v>
      </c>
      <c r="F76" s="3" t="s">
        <v>65</v>
      </c>
    </row>
    <row r="77" spans="1:14" x14ac:dyDescent="0.2">
      <c r="B77" s="29">
        <f>6+5/8</f>
        <v>6.625</v>
      </c>
      <c r="C77" s="20">
        <v>17</v>
      </c>
      <c r="D77" s="20">
        <v>13.25</v>
      </c>
      <c r="E77" s="20">
        <v>32</v>
      </c>
      <c r="F77" s="3" t="s">
        <v>66</v>
      </c>
    </row>
    <row r="78" spans="1:14" x14ac:dyDescent="0.2">
      <c r="B78" s="29">
        <v>7</v>
      </c>
      <c r="C78" s="20">
        <v>17</v>
      </c>
      <c r="D78" s="20">
        <v>27.5</v>
      </c>
      <c r="E78" s="20">
        <v>38</v>
      </c>
    </row>
    <row r="79" spans="1:14" x14ac:dyDescent="0.2">
      <c r="B79" s="29">
        <v>7.625</v>
      </c>
      <c r="C79" s="20">
        <v>20</v>
      </c>
      <c r="D79" s="20">
        <v>28.8</v>
      </c>
      <c r="E79" s="20">
        <v>39</v>
      </c>
    </row>
    <row r="80" spans="1:14" x14ac:dyDescent="0.2">
      <c r="B80" s="29">
        <v>8.625</v>
      </c>
      <c r="C80" s="20">
        <v>24</v>
      </c>
      <c r="D80" s="20">
        <v>36.142857142857146</v>
      </c>
      <c r="E80" s="20">
        <v>49</v>
      </c>
    </row>
    <row r="81" spans="2:6" x14ac:dyDescent="0.2">
      <c r="B81" s="29">
        <v>9.625</v>
      </c>
      <c r="C81" s="20">
        <v>29.3</v>
      </c>
      <c r="D81" s="20">
        <v>40.228571428571435</v>
      </c>
      <c r="E81" s="20">
        <v>53.5</v>
      </c>
    </row>
    <row r="82" spans="2:6" x14ac:dyDescent="0.2">
      <c r="B82" s="29">
        <v>10.75</v>
      </c>
      <c r="C82" s="20">
        <v>32.75</v>
      </c>
      <c r="D82" s="20">
        <v>50.117142857142859</v>
      </c>
      <c r="E82" s="20">
        <v>65.37</v>
      </c>
    </row>
    <row r="83" spans="2:6" x14ac:dyDescent="0.2">
      <c r="B83" s="29">
        <v>11.75</v>
      </c>
      <c r="C83" s="20">
        <v>38</v>
      </c>
      <c r="D83" s="20">
        <v>48.2</v>
      </c>
      <c r="E83" s="20">
        <v>60</v>
      </c>
    </row>
    <row r="84" spans="2:6" x14ac:dyDescent="0.2">
      <c r="B84" s="29">
        <v>13.375</v>
      </c>
      <c r="C84" s="20">
        <v>48</v>
      </c>
      <c r="D84" s="20">
        <v>60.7</v>
      </c>
      <c r="E84" s="20">
        <v>72</v>
      </c>
    </row>
    <row r="85" spans="2:6" x14ac:dyDescent="0.2">
      <c r="B85" s="29">
        <v>16</v>
      </c>
      <c r="C85" s="20">
        <v>55</v>
      </c>
      <c r="D85" s="20">
        <v>77.599999999999994</v>
      </c>
      <c r="E85" s="20">
        <v>109</v>
      </c>
    </row>
    <row r="86" spans="2:6" x14ac:dyDescent="0.2">
      <c r="B86" s="29">
        <v>18.625</v>
      </c>
      <c r="C86" s="20">
        <v>87.5</v>
      </c>
      <c r="D86" s="20">
        <v>87.5</v>
      </c>
      <c r="E86" s="20">
        <v>87.5</v>
      </c>
    </row>
    <row r="87" spans="2:6" x14ac:dyDescent="0.2">
      <c r="B87" s="29">
        <v>20</v>
      </c>
      <c r="C87" s="20">
        <v>94</v>
      </c>
      <c r="D87" s="20">
        <v>94</v>
      </c>
      <c r="E87" s="20">
        <v>94</v>
      </c>
    </row>
    <row r="88" spans="2:6" x14ac:dyDescent="0.2">
      <c r="B88" s="29">
        <v>30</v>
      </c>
      <c r="C88" s="20">
        <v>103.73012445858632</v>
      </c>
      <c r="D88" s="20">
        <v>168.05736023686896</v>
      </c>
      <c r="E88" s="20">
        <v>245.28352798291402</v>
      </c>
    </row>
    <row r="89" spans="2:6" x14ac:dyDescent="0.2">
      <c r="B89" s="30"/>
      <c r="C89" s="34"/>
      <c r="D89" s="34"/>
      <c r="E89" s="34"/>
    </row>
    <row r="90" spans="2:6" x14ac:dyDescent="0.2">
      <c r="B90" s="30"/>
      <c r="C90" s="34"/>
      <c r="D90" s="34"/>
      <c r="E90" s="34"/>
    </row>
    <row r="91" spans="2:6" x14ac:dyDescent="0.2">
      <c r="B91" s="16" t="s">
        <v>67</v>
      </c>
      <c r="C91" s="34"/>
      <c r="D91" s="34"/>
      <c r="E91" s="34"/>
    </row>
    <row r="92" spans="2:6" x14ac:dyDescent="0.2">
      <c r="B92" s="19" t="s">
        <v>68</v>
      </c>
      <c r="C92" s="74" t="s">
        <v>57</v>
      </c>
      <c r="D92" s="76"/>
      <c r="E92" s="75"/>
      <c r="F92" s="3" t="s">
        <v>58</v>
      </c>
    </row>
    <row r="93" spans="2:6" x14ac:dyDescent="0.2">
      <c r="B93" s="20"/>
      <c r="C93" s="20" t="s">
        <v>59</v>
      </c>
      <c r="D93" s="20" t="s">
        <v>60</v>
      </c>
      <c r="E93" s="20" t="s">
        <v>61</v>
      </c>
      <c r="F93" s="3" t="s">
        <v>69</v>
      </c>
    </row>
    <row r="94" spans="2:6" x14ac:dyDescent="0.2">
      <c r="B94" s="29">
        <v>0.75</v>
      </c>
      <c r="C94" s="20">
        <v>1.1399999999999999</v>
      </c>
      <c r="D94" s="20">
        <v>1.1399999999999999</v>
      </c>
      <c r="E94" s="20">
        <v>1.1399999999999999</v>
      </c>
      <c r="F94" s="3" t="s">
        <v>70</v>
      </c>
    </row>
    <row r="95" spans="2:6" x14ac:dyDescent="0.2">
      <c r="B95" s="29">
        <v>1</v>
      </c>
      <c r="C95" s="20">
        <v>1.7</v>
      </c>
      <c r="D95" s="20">
        <v>1.7</v>
      </c>
      <c r="E95" s="20">
        <v>1.7</v>
      </c>
      <c r="F95" s="3" t="s">
        <v>71</v>
      </c>
    </row>
    <row r="96" spans="2:6" x14ac:dyDescent="0.2">
      <c r="B96" s="29">
        <v>1.25</v>
      </c>
      <c r="C96" s="20">
        <v>2.2999999999999998</v>
      </c>
      <c r="D96" s="20">
        <v>2.2999999999999998</v>
      </c>
      <c r="E96" s="20">
        <v>2.2999999999999998</v>
      </c>
    </row>
    <row r="97" spans="1:60" x14ac:dyDescent="0.2">
      <c r="B97" s="29">
        <v>1.5</v>
      </c>
      <c r="C97" s="20">
        <v>2.75</v>
      </c>
      <c r="D97" s="20">
        <v>2.75</v>
      </c>
      <c r="E97" s="20">
        <v>2.75</v>
      </c>
    </row>
    <row r="98" spans="1:60" x14ac:dyDescent="0.2">
      <c r="B98" s="29">
        <v>2.375</v>
      </c>
      <c r="C98" s="20">
        <v>4</v>
      </c>
      <c r="D98" s="20">
        <f>AVERAGE(C98,E98)</f>
        <v>4.9000000000000004</v>
      </c>
      <c r="E98" s="20">
        <v>5.8</v>
      </c>
    </row>
    <row r="99" spans="1:60" x14ac:dyDescent="0.2">
      <c r="B99" s="29">
        <v>2.875</v>
      </c>
      <c r="C99" s="20">
        <v>6.4</v>
      </c>
      <c r="D99" s="20">
        <f>AVERAGE(C99,E99)</f>
        <v>7.5</v>
      </c>
      <c r="E99" s="20">
        <v>8.6</v>
      </c>
    </row>
    <row r="100" spans="1:60" x14ac:dyDescent="0.2">
      <c r="B100" s="29">
        <v>3.5</v>
      </c>
      <c r="C100" s="20">
        <v>7.7</v>
      </c>
      <c r="D100" s="20">
        <f>AVERAGE(C100,E100)</f>
        <v>10.199999999999999</v>
      </c>
      <c r="E100" s="20">
        <v>12.7</v>
      </c>
    </row>
    <row r="101" spans="1:60" x14ac:dyDescent="0.2">
      <c r="B101" s="29">
        <v>4</v>
      </c>
      <c r="C101" s="20">
        <v>9.5</v>
      </c>
      <c r="D101" s="20">
        <v>9.5</v>
      </c>
      <c r="E101" s="20">
        <v>9.5</v>
      </c>
    </row>
    <row r="102" spans="1:60" x14ac:dyDescent="0.2">
      <c r="B102" s="29">
        <v>4.5</v>
      </c>
      <c r="C102" s="20">
        <v>12.6</v>
      </c>
      <c r="D102" s="20">
        <v>12.6</v>
      </c>
      <c r="E102" s="20">
        <v>12.6</v>
      </c>
    </row>
    <row r="103" spans="1:60" x14ac:dyDescent="0.2">
      <c r="B103" s="30"/>
      <c r="C103" s="34"/>
      <c r="D103" s="34"/>
      <c r="E103" s="34"/>
    </row>
    <row r="104" spans="1:60" s="28" customFormat="1" ht="15.75"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row>
    <row r="105" spans="1:60" s="28" customFormat="1" ht="15.75" x14ac:dyDescent="0.25">
      <c r="A105" s="16"/>
      <c r="B105" s="16" t="s">
        <v>72</v>
      </c>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row>
    <row r="106" spans="1:60" s="28" customFormat="1" ht="26.25" x14ac:dyDescent="0.25">
      <c r="A106" s="16"/>
      <c r="B106" s="16"/>
      <c r="C106" s="19" t="s">
        <v>37</v>
      </c>
      <c r="D106" s="19" t="s">
        <v>38</v>
      </c>
      <c r="E106" s="19" t="s">
        <v>39</v>
      </c>
      <c r="F106" s="19" t="s">
        <v>40</v>
      </c>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row>
    <row r="107" spans="1:60" s="28" customFormat="1" ht="15.75" x14ac:dyDescent="0.25">
      <c r="A107" s="16"/>
      <c r="B107" s="32" t="s">
        <v>46</v>
      </c>
      <c r="C107" s="21">
        <f>IF(C61="",0,VLOOKUP(C61,$B$74:$E$88,IF($M$30=1,2,IF($M$30=2,3,IF($M$30=3,4,"ERROR")))))</f>
        <v>168.05736023686896</v>
      </c>
      <c r="D107" s="21">
        <f>IF(F61="",0,VLOOKUP(F61,$B$74:$E$88,IF($M$30=1,2,IF($M$30=2,3,IF($M$30=3,4,"ERROR")))))</f>
        <v>94</v>
      </c>
      <c r="E107" s="21">
        <f>IF(I61="",0,VLOOKUP(I61,$B$74:$E$88,IF($M$30=1,2,IF($M$30=2,3,IF($M$30=3,4,"ERROR")))))</f>
        <v>48.2</v>
      </c>
      <c r="F107" s="21">
        <f>IF(L61="",0,VLOOKUP(L61,$B$74:$E$88,IF($M$30=1,2,IF($M$30=2,3,IF($M$30=3,4,"ERROR")))))</f>
        <v>0</v>
      </c>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row>
    <row r="108" spans="1:60" s="28" customFormat="1" ht="15.75" x14ac:dyDescent="0.25">
      <c r="A108" s="16"/>
      <c r="B108" s="32" t="s">
        <v>48</v>
      </c>
      <c r="C108" s="21">
        <f>IF(C62="",0,VLOOKUP(C62,$B$74:$E$88,IF($M$30=1,2,IF($M$30=2,3,IF($M$30=3,4,"ERROR")))))</f>
        <v>94</v>
      </c>
      <c r="D108" s="21">
        <f>IF(F62="",0,VLOOKUP(F62,$B$74:$E$88,IF($M$30=1,2,IF($M$30=2,3,IF($M$30=3,4,"ERROR")))))</f>
        <v>0</v>
      </c>
      <c r="E108" s="21">
        <f>IF(I62="",0,VLOOKUP(I62,$B$74:$E$88,IF($M$30=1,2,IF($M$30=2,3,IF($M$30=3,4,"ERROR")))))</f>
        <v>0</v>
      </c>
      <c r="F108" s="21">
        <f t="shared" ref="F108:F112" si="16">IF(L62="",0,VLOOKUP(L62,$B$74:$E$88,IF($M$30=1,2,IF($M$30=2,3,IF($M$30=3,4,"ERROR")))))</f>
        <v>0</v>
      </c>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row>
    <row r="109" spans="1:60" s="28" customFormat="1" ht="15.75" x14ac:dyDescent="0.25">
      <c r="A109" s="16"/>
      <c r="B109" s="32" t="s">
        <v>50</v>
      </c>
      <c r="C109" s="21">
        <f>IF(C63="",0,VLOOKUP(C63,$B$74:$E$88,IF($M$30=1,2,IF($M$30=2,3,IF($M$30=3,4,"ERROR")))))</f>
        <v>60.7</v>
      </c>
      <c r="D109" s="21">
        <f>IF(F63="",0,VLOOKUP(F63,$B$74:$E$88,IF($M$30=1,2,IF($M$30=2,3,IF($M$30=3,4,"ERROR")))))</f>
        <v>48.2</v>
      </c>
      <c r="E109" s="21">
        <f>IF(I63="",0,VLOOKUP(I63,$B$74:$E$88,IF($M$30=1,2,IF($M$30=2,3,IF($M$30=3,4,"ERROR")))))</f>
        <v>0</v>
      </c>
      <c r="F109" s="21">
        <f t="shared" si="16"/>
        <v>0</v>
      </c>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row>
    <row r="110" spans="1:60" s="28" customFormat="1" ht="15.75" x14ac:dyDescent="0.25">
      <c r="A110" s="16"/>
      <c r="B110" s="32" t="s">
        <v>51</v>
      </c>
      <c r="C110" s="21">
        <f>IF(C64="",0,VLOOKUP(C64,$B$74:$E$88,IF($M$30=1,2,IF($M$30=2,3,IF($M$30=3,4,"ERROR")))))</f>
        <v>40.228571428571435</v>
      </c>
      <c r="D110" s="21">
        <f>IF(F64="",0,VLOOKUP(F64,$B$74:$E$88,IF($M$30=1,2,IF($M$30=2,3,IF($M$30=3,4,"ERROR")))))</f>
        <v>0</v>
      </c>
      <c r="E110" s="21">
        <f>IF(I64="",0,VLOOKUP(I64,$B$74:$E$88,IF($M$30=1,2,IF($M$30=2,3,IF($M$30=3,4,"ERROR")))))</f>
        <v>0</v>
      </c>
      <c r="F110" s="21">
        <f t="shared" si="16"/>
        <v>0</v>
      </c>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row>
    <row r="111" spans="1:60" s="28" customFormat="1" ht="15.75" x14ac:dyDescent="0.25">
      <c r="A111" s="16"/>
      <c r="B111" s="32" t="s">
        <v>52</v>
      </c>
      <c r="C111" s="21">
        <f>IF(C65="",0,VLOOKUP(C65,$B$74:$E$88,IF($M$30=1,2,IF($M$30=2,3,IF($M$30=3,4,"ERROR")))))</f>
        <v>28.8</v>
      </c>
      <c r="D111" s="21">
        <f>IF(F65="",0,VLOOKUP(F65,$B$74:$E$88,IF($M$30=1,2,IF($M$30=2,3,IF($M$30=3,4,"ERROR")))))</f>
        <v>27.5</v>
      </c>
      <c r="E111" s="21">
        <f>IF(I65="",0,VLOOKUP(I65,$B$74:$E$88,IF($M$30=1,2,IF($M$30=2,3,IF($M$30=3,4,"ERROR")))))</f>
        <v>11.275</v>
      </c>
      <c r="F111" s="21">
        <f t="shared" si="16"/>
        <v>0</v>
      </c>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row>
    <row r="112" spans="1:60" s="28" customFormat="1" ht="15.75" x14ac:dyDescent="0.25">
      <c r="A112" s="16"/>
      <c r="B112" s="32" t="s">
        <v>53</v>
      </c>
      <c r="C112" s="21">
        <f>IF(C66="",0,VLOOKUP(C66,$B$93:$E$102,IF($M$30=1,2,IF($M$30=2,3,IF($M$30=3,4,"ERROR")))))</f>
        <v>12.6</v>
      </c>
      <c r="D112" s="21">
        <f>IF(F66="",0,VLOOKUP(F66,$B$93:$E$102,IF($M$30=1,2,IF($M$30=2,3,IF($M$30=3,4,"ERROR")))))</f>
        <v>4.9000000000000004</v>
      </c>
      <c r="E112" s="21">
        <f>IF(I66="",0,VLOOKUP(I66,$B$93:$E$102,IF($M$30=1,2,IF($M$30=2,3,IF($M$30=3,4,"ERROR")))))</f>
        <v>4.9000000000000004</v>
      </c>
      <c r="F112" s="21">
        <f t="shared" si="16"/>
        <v>0</v>
      </c>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row>
    <row r="113" spans="1:60" s="28" customFormat="1" ht="15.75"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row>
    <row r="114" spans="1:60" s="28" customFormat="1" ht="15.75"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row>
    <row r="115" spans="1:60" x14ac:dyDescent="0.2">
      <c r="B115" s="16" t="s">
        <v>73</v>
      </c>
      <c r="M115" s="1" t="s">
        <v>2</v>
      </c>
      <c r="N115" s="1" t="s">
        <v>3</v>
      </c>
      <c r="O115" s="16" t="s">
        <v>74</v>
      </c>
    </row>
    <row r="116" spans="1:60" x14ac:dyDescent="0.2">
      <c r="C116" s="16" t="s">
        <v>75</v>
      </c>
      <c r="M116" s="35">
        <f>SUMPRODUCT(E61:E66,C107:C112)</f>
        <v>1222982.9006188023</v>
      </c>
      <c r="N116" s="36" t="s">
        <v>76</v>
      </c>
      <c r="O116" s="16" t="s">
        <v>77</v>
      </c>
    </row>
    <row r="117" spans="1:60" x14ac:dyDescent="0.2">
      <c r="C117" s="16" t="s">
        <v>78</v>
      </c>
      <c r="M117" s="35">
        <f>SUMPRODUCT(H61:H66,D107:D112)</f>
        <v>287476</v>
      </c>
      <c r="N117" s="36" t="s">
        <v>76</v>
      </c>
      <c r="O117" s="16" t="s">
        <v>77</v>
      </c>
    </row>
    <row r="118" spans="1:60" x14ac:dyDescent="0.2">
      <c r="C118" s="16" t="s">
        <v>79</v>
      </c>
      <c r="M118" s="35">
        <f>SUMPRODUCT(K61:K66,E107:E112)</f>
        <v>133734.62</v>
      </c>
      <c r="N118" s="36" t="s">
        <v>76</v>
      </c>
      <c r="O118" s="16" t="s">
        <v>77</v>
      </c>
    </row>
    <row r="119" spans="1:60" x14ac:dyDescent="0.2">
      <c r="C119" s="16" t="s">
        <v>80</v>
      </c>
      <c r="M119" s="35">
        <f>SUMPRODUCT(N61:N66,F107:F112)</f>
        <v>0</v>
      </c>
      <c r="N119" s="36" t="s">
        <v>76</v>
      </c>
      <c r="O119" s="16" t="s">
        <v>77</v>
      </c>
    </row>
    <row r="121" spans="1:60" x14ac:dyDescent="0.2">
      <c r="B121" s="16" t="s">
        <v>81</v>
      </c>
    </row>
    <row r="122" spans="1:60" x14ac:dyDescent="0.2">
      <c r="C122" s="16" t="s">
        <v>82</v>
      </c>
      <c r="M122" s="21">
        <f>M116/E66</f>
        <v>61.149145030940112</v>
      </c>
      <c r="N122" s="36" t="s">
        <v>76</v>
      </c>
      <c r="O122" s="31" t="s">
        <v>83</v>
      </c>
    </row>
    <row r="123" spans="1:60" x14ac:dyDescent="0.2">
      <c r="C123" s="16" t="s">
        <v>84</v>
      </c>
      <c r="M123" s="21">
        <f>M117/H66</f>
        <v>39.706629834254144</v>
      </c>
      <c r="N123" s="36" t="s">
        <v>76</v>
      </c>
      <c r="O123" s="31" t="s">
        <v>83</v>
      </c>
    </row>
    <row r="124" spans="1:60" x14ac:dyDescent="0.2">
      <c r="C124" s="16" t="s">
        <v>85</v>
      </c>
      <c r="M124" s="21">
        <f>M118/K66</f>
        <v>21.459342105263158</v>
      </c>
      <c r="N124" s="36" t="s">
        <v>76</v>
      </c>
      <c r="O124" s="31" t="s">
        <v>83</v>
      </c>
    </row>
    <row r="125" spans="1:60" x14ac:dyDescent="0.2">
      <c r="C125" s="16" t="s">
        <v>86</v>
      </c>
      <c r="M125" s="21" t="str">
        <f>IFERROR(M119/N66,"")</f>
        <v/>
      </c>
      <c r="N125" s="36" t="s">
        <v>76</v>
      </c>
      <c r="O125" s="31" t="s">
        <v>83</v>
      </c>
    </row>
    <row r="127" spans="1:60" x14ac:dyDescent="0.2">
      <c r="B127" s="16" t="s">
        <v>87</v>
      </c>
    </row>
    <row r="128" spans="1:60" x14ac:dyDescent="0.2">
      <c r="C128" s="16" t="s">
        <v>88</v>
      </c>
      <c r="M128" s="35">
        <f>'Required OPGEE data'!C7*'Required OPGEE data'!C9*(IF(M31=1,M124,IF(M31=2,M123,IF(M31=3,M122,IF(M31=0,M125,"ERROR")))))</f>
        <v>2299808</v>
      </c>
      <c r="O128" s="16" t="s">
        <v>89</v>
      </c>
    </row>
    <row r="129" spans="1:60" x14ac:dyDescent="0.2">
      <c r="C129" s="16" t="s">
        <v>90</v>
      </c>
      <c r="M129" s="35">
        <f>'Required OPGEE data'!C7*'Required OPGEE data'!C10*(IF(M31=1,M124,IF(M31=2,M123,IF(M31=3,M122,IF(M31=0,M125,"ERROR")))))</f>
        <v>1437380</v>
      </c>
      <c r="O129" s="16" t="s">
        <v>89</v>
      </c>
    </row>
    <row r="132" spans="1:60" s="28" customFormat="1" ht="15.75" x14ac:dyDescent="0.25">
      <c r="A132" s="16"/>
      <c r="B132" s="3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row>
    <row r="133" spans="1:60" x14ac:dyDescent="0.2">
      <c r="A133" s="16" t="s">
        <v>91</v>
      </c>
    </row>
    <row r="135" spans="1:60" x14ac:dyDescent="0.2">
      <c r="B135" s="16" t="s">
        <v>92</v>
      </c>
    </row>
    <row r="136" spans="1:60" x14ac:dyDescent="0.2">
      <c r="B136" s="19" t="s">
        <v>93</v>
      </c>
      <c r="C136" s="19" t="s">
        <v>94</v>
      </c>
      <c r="D136" s="19" t="s">
        <v>95</v>
      </c>
      <c r="E136" s="19" t="s">
        <v>96</v>
      </c>
      <c r="F136" s="19" t="s">
        <v>97</v>
      </c>
      <c r="G136" s="3" t="s">
        <v>58</v>
      </c>
    </row>
    <row r="137" spans="1:60" ht="25.5" x14ac:dyDescent="0.2">
      <c r="B137" s="19" t="s">
        <v>98</v>
      </c>
      <c r="C137" s="19" t="s">
        <v>99</v>
      </c>
      <c r="D137" s="19" t="s">
        <v>100</v>
      </c>
      <c r="E137" s="19" t="s">
        <v>101</v>
      </c>
      <c r="F137" s="19" t="s">
        <v>102</v>
      </c>
      <c r="G137" s="3" t="s">
        <v>103</v>
      </c>
    </row>
    <row r="138" spans="1:60" x14ac:dyDescent="0.2">
      <c r="B138" s="20" t="s">
        <v>104</v>
      </c>
      <c r="C138" s="20"/>
      <c r="D138" s="20"/>
      <c r="E138" s="20"/>
      <c r="F138" s="20"/>
      <c r="G138" s="3" t="s">
        <v>105</v>
      </c>
    </row>
    <row r="139" spans="1:60" x14ac:dyDescent="0.2">
      <c r="B139" s="20" t="s">
        <v>106</v>
      </c>
      <c r="C139" s="20">
        <v>94</v>
      </c>
      <c r="D139" s="20">
        <v>94</v>
      </c>
      <c r="E139" s="20">
        <v>94</v>
      </c>
      <c r="F139" s="20">
        <v>94</v>
      </c>
      <c r="G139" s="3" t="s">
        <v>107</v>
      </c>
    </row>
    <row r="140" spans="1:60" x14ac:dyDescent="0.2">
      <c r="B140" s="20" t="s">
        <v>108</v>
      </c>
      <c r="C140" s="20">
        <v>15.040000000000001</v>
      </c>
      <c r="D140" s="20">
        <v>2.82</v>
      </c>
      <c r="E140" s="20">
        <v>0</v>
      </c>
      <c r="F140" s="20">
        <v>0</v>
      </c>
      <c r="G140" s="3" t="s">
        <v>109</v>
      </c>
    </row>
    <row r="141" spans="1:60" x14ac:dyDescent="0.2">
      <c r="B141" s="20" t="s">
        <v>110</v>
      </c>
      <c r="C141" s="20">
        <v>0</v>
      </c>
      <c r="D141" s="20">
        <v>0</v>
      </c>
      <c r="E141" s="20">
        <v>4.7</v>
      </c>
      <c r="F141" s="20">
        <v>0</v>
      </c>
      <c r="G141" s="3" t="s">
        <v>111</v>
      </c>
    </row>
    <row r="142" spans="1:60" x14ac:dyDescent="0.2">
      <c r="B142" s="20" t="s">
        <v>112</v>
      </c>
      <c r="C142" s="20">
        <v>0</v>
      </c>
      <c r="D142" s="20">
        <v>0</v>
      </c>
      <c r="E142" s="20">
        <v>0</v>
      </c>
      <c r="F142" s="20">
        <v>1.8800000000000001</v>
      </c>
      <c r="G142" s="3" t="s">
        <v>113</v>
      </c>
    </row>
    <row r="143" spans="1:60" x14ac:dyDescent="0.2">
      <c r="B143" s="20" t="s">
        <v>114</v>
      </c>
      <c r="C143" s="20">
        <v>4.7</v>
      </c>
      <c r="D143" s="20">
        <v>0</v>
      </c>
      <c r="E143" s="20">
        <v>0</v>
      </c>
      <c r="F143" s="20">
        <v>0</v>
      </c>
      <c r="G143" s="3" t="s">
        <v>115</v>
      </c>
    </row>
    <row r="144" spans="1:60" x14ac:dyDescent="0.2">
      <c r="B144" s="20" t="s">
        <v>116</v>
      </c>
      <c r="C144" s="20">
        <v>108.29</v>
      </c>
      <c r="D144" s="20">
        <v>58.186</v>
      </c>
      <c r="E144" s="20">
        <v>37.625943599999999</v>
      </c>
      <c r="F144" s="20">
        <v>43.316000000000003</v>
      </c>
      <c r="G144" s="3" t="s">
        <v>117</v>
      </c>
    </row>
    <row r="145" spans="2:7" x14ac:dyDescent="0.2">
      <c r="B145" s="20"/>
      <c r="C145" s="20"/>
      <c r="D145" s="20"/>
      <c r="E145" s="20"/>
      <c r="F145" s="20"/>
      <c r="G145" s="3" t="s">
        <v>118</v>
      </c>
    </row>
    <row r="146" spans="2:7" x14ac:dyDescent="0.2">
      <c r="B146" s="20" t="s">
        <v>119</v>
      </c>
      <c r="C146" s="20"/>
      <c r="D146" s="20"/>
      <c r="E146" s="20"/>
      <c r="F146" s="20"/>
    </row>
    <row r="147" spans="2:7" x14ac:dyDescent="0.2">
      <c r="B147" s="20" t="s">
        <v>106</v>
      </c>
      <c r="C147" s="20">
        <v>0.42336621177318373</v>
      </c>
      <c r="D147" s="20">
        <v>0.60642813826561548</v>
      </c>
      <c r="E147" s="20">
        <v>0.68952392712431587</v>
      </c>
      <c r="F147" s="20">
        <v>0.6753067616885543</v>
      </c>
    </row>
    <row r="148" spans="2:7" x14ac:dyDescent="0.2">
      <c r="B148" s="20" t="s">
        <v>108</v>
      </c>
      <c r="C148" s="20">
        <v>6.7738593883709397E-2</v>
      </c>
      <c r="D148" s="20">
        <v>1.8192844147968464E-2</v>
      </c>
      <c r="E148" s="20">
        <v>0</v>
      </c>
      <c r="F148" s="20">
        <v>0</v>
      </c>
    </row>
    <row r="149" spans="2:7" x14ac:dyDescent="0.2">
      <c r="B149" s="20" t="s">
        <v>110</v>
      </c>
      <c r="C149" s="20">
        <v>0</v>
      </c>
      <c r="D149" s="20">
        <v>0</v>
      </c>
      <c r="E149" s="20">
        <v>3.4476196356215794E-2</v>
      </c>
      <c r="F149" s="20">
        <v>0</v>
      </c>
    </row>
    <row r="150" spans="2:7" x14ac:dyDescent="0.2">
      <c r="B150" s="20" t="s">
        <v>112</v>
      </c>
      <c r="C150" s="20">
        <v>0</v>
      </c>
      <c r="D150" s="20">
        <v>0</v>
      </c>
      <c r="E150" s="20">
        <v>0</v>
      </c>
      <c r="F150" s="20">
        <v>1.3506135233771087E-2</v>
      </c>
    </row>
    <row r="151" spans="2:7" x14ac:dyDescent="0.2">
      <c r="B151" s="20" t="s">
        <v>114</v>
      </c>
      <c r="C151" s="20">
        <v>2.1168310588659187E-2</v>
      </c>
      <c r="D151" s="20">
        <v>0</v>
      </c>
      <c r="E151" s="20">
        <v>0</v>
      </c>
      <c r="F151" s="20">
        <v>0</v>
      </c>
    </row>
    <row r="152" spans="2:7" x14ac:dyDescent="0.2">
      <c r="B152" s="20" t="s">
        <v>116</v>
      </c>
      <c r="C152" s="20">
        <v>0.48772688375444756</v>
      </c>
      <c r="D152" s="20">
        <v>0.37537901758641601</v>
      </c>
      <c r="E152" s="20">
        <v>0.27599987651946828</v>
      </c>
      <c r="F152" s="20">
        <v>0.31118710307767466</v>
      </c>
    </row>
    <row r="153" spans="2:7" x14ac:dyDescent="0.2">
      <c r="B153" s="20"/>
      <c r="C153" s="20"/>
      <c r="D153" s="20"/>
      <c r="E153" s="20"/>
      <c r="F153" s="20"/>
    </row>
    <row r="154" spans="2:7" x14ac:dyDescent="0.2">
      <c r="B154" s="20" t="s">
        <v>120</v>
      </c>
      <c r="C154" s="20"/>
      <c r="D154" s="20"/>
      <c r="E154" s="20"/>
      <c r="F154" s="20"/>
    </row>
    <row r="155" spans="2:7" x14ac:dyDescent="0.2">
      <c r="B155" s="20" t="s">
        <v>121</v>
      </c>
      <c r="C155" s="20">
        <v>12.393122690199778</v>
      </c>
      <c r="D155" s="20">
        <v>14.477534236980107</v>
      </c>
      <c r="E155" s="20">
        <v>16.578392792435224</v>
      </c>
      <c r="F155" s="20">
        <v>15.748376384026136</v>
      </c>
    </row>
    <row r="156" spans="2:7" x14ac:dyDescent="0.2">
      <c r="B156" s="20" t="s">
        <v>122</v>
      </c>
      <c r="C156" s="20">
        <f>C155*7.48</f>
        <v>92.700557722694342</v>
      </c>
      <c r="D156" s="20">
        <f t="shared" ref="D156:F156" si="17">D155*7.48</f>
        <v>108.2919560926112</v>
      </c>
      <c r="E156" s="20">
        <f t="shared" si="17"/>
        <v>124.00637808741548</v>
      </c>
      <c r="F156" s="20">
        <f t="shared" si="17"/>
        <v>117.7978553525155</v>
      </c>
    </row>
    <row r="157" spans="2:7" x14ac:dyDescent="0.2">
      <c r="B157" s="20" t="s">
        <v>123</v>
      </c>
      <c r="C157" s="20">
        <v>1.4856047357392441</v>
      </c>
      <c r="D157" s="20">
        <v>1.7354700636743217</v>
      </c>
      <c r="E157" s="20">
        <v>1.987306949108409</v>
      </c>
      <c r="F157" s="20">
        <v>1.8878101283395068</v>
      </c>
    </row>
    <row r="158" spans="2:7" x14ac:dyDescent="0.2">
      <c r="B158" s="20"/>
      <c r="C158" s="20"/>
      <c r="D158" s="20"/>
      <c r="E158" s="20"/>
      <c r="F158" s="20"/>
    </row>
    <row r="159" spans="2:7" x14ac:dyDescent="0.2">
      <c r="B159" s="20" t="s">
        <v>124</v>
      </c>
      <c r="C159" s="20"/>
      <c r="D159" s="20"/>
      <c r="E159" s="20"/>
      <c r="F159" s="20"/>
    </row>
    <row r="160" spans="2:7" x14ac:dyDescent="0.2">
      <c r="B160" s="20" t="s">
        <v>125</v>
      </c>
      <c r="C160" s="20">
        <v>2.3444303393526909</v>
      </c>
      <c r="D160" s="20">
        <v>1.4313713187287795</v>
      </c>
      <c r="E160" s="20">
        <v>1.0993462247877293</v>
      </c>
      <c r="F160" s="20">
        <v>1.1816513941060265</v>
      </c>
    </row>
    <row r="161" spans="2:19" x14ac:dyDescent="0.2">
      <c r="B161" s="20" t="s">
        <v>126</v>
      </c>
      <c r="C161" s="20">
        <v>1.5565897160710571</v>
      </c>
      <c r="D161" s="20">
        <v>0.95036215715731764</v>
      </c>
      <c r="E161" s="20">
        <v>0.72991336069238866</v>
      </c>
      <c r="F161" s="20">
        <v>0.78456006014421453</v>
      </c>
    </row>
    <row r="162" spans="2:19" ht="25.5" x14ac:dyDescent="0.2">
      <c r="B162" s="37" t="s">
        <v>127</v>
      </c>
      <c r="C162" s="21">
        <f>C139*C17+C140*C15+C21*C141</f>
        <v>52545.211464575921</v>
      </c>
      <c r="D162" s="21">
        <f>D139*C17+D140*C15+C21*D141</f>
        <v>52370.718335260695</v>
      </c>
      <c r="E162" s="21">
        <f>E139*C17+E140*C15+C21*E141</f>
        <v>52343.213414433434</v>
      </c>
      <c r="F162" s="21">
        <f>F139*C17+F140*C15+C21*F141</f>
        <v>52330.450690034108</v>
      </c>
    </row>
    <row r="163" spans="2:19" ht="25.5" x14ac:dyDescent="0.2">
      <c r="B163" s="37" t="s">
        <v>128</v>
      </c>
      <c r="C163" s="21">
        <f>C162/C160</f>
        <v>22412.784283914327</v>
      </c>
      <c r="D163" s="21">
        <f>D162/D160</f>
        <v>36587.793572510484</v>
      </c>
      <c r="E163" s="21">
        <f>E162/E160</f>
        <v>47613.037853056972</v>
      </c>
      <c r="F163" s="21">
        <f>F162/F160</f>
        <v>44285.86210032316</v>
      </c>
    </row>
    <row r="164" spans="2:19" ht="25.5" x14ac:dyDescent="0.2">
      <c r="B164" s="37" t="s">
        <v>129</v>
      </c>
      <c r="C164" s="21">
        <f>C139*$D$17+C140*$D$15+$D$21*C141</f>
        <v>0.22454766074908827</v>
      </c>
      <c r="D164" s="21">
        <f>D139*$D$17+D140*$D$15+$D$21*D141</f>
        <v>0.22219342418545254</v>
      </c>
      <c r="E164" s="21">
        <f>E139*$D$17+E140*$D$15+$D$21*E141</f>
        <v>0.22179764218272982</v>
      </c>
      <c r="F164" s="21">
        <f>F139*$D$17+F140*$D$15+$D$21*F141</f>
        <v>0.22165013882461354</v>
      </c>
    </row>
    <row r="165" spans="2:19" ht="25.5" x14ac:dyDescent="0.2">
      <c r="B165" s="37" t="s">
        <v>130</v>
      </c>
      <c r="C165" s="21">
        <f>C164/C160</f>
        <v>9.577919931333384E-2</v>
      </c>
      <c r="D165" s="21">
        <f t="shared" ref="D165:F165" si="18">D164/D160</f>
        <v>0.15523115580014946</v>
      </c>
      <c r="E165" s="21">
        <f t="shared" si="18"/>
        <v>0.20175413093864611</v>
      </c>
      <c r="F165" s="21">
        <f t="shared" si="18"/>
        <v>0.18757658978797384</v>
      </c>
    </row>
    <row r="168" spans="2:19" x14ac:dyDescent="0.2">
      <c r="B168" s="16" t="s">
        <v>131</v>
      </c>
      <c r="M168" s="1" t="s">
        <v>2</v>
      </c>
      <c r="N168" s="1" t="s">
        <v>3</v>
      </c>
      <c r="O168" s="16" t="s">
        <v>74</v>
      </c>
      <c r="Q168" s="1" t="s">
        <v>4</v>
      </c>
      <c r="R168" s="1"/>
      <c r="S168" s="1" t="s">
        <v>5</v>
      </c>
    </row>
    <row r="169" spans="2:19" x14ac:dyDescent="0.2">
      <c r="C169" s="16" t="s">
        <v>132</v>
      </c>
      <c r="M169" s="24">
        <v>300</v>
      </c>
      <c r="N169" s="25">
        <v>300</v>
      </c>
      <c r="O169" s="16" t="s">
        <v>133</v>
      </c>
      <c r="S169" s="16" t="s">
        <v>134</v>
      </c>
    </row>
    <row r="170" spans="2:19" x14ac:dyDescent="0.2">
      <c r="C170" s="16" t="s">
        <v>135</v>
      </c>
      <c r="M170" s="24" t="s">
        <v>136</v>
      </c>
      <c r="N170" s="25" t="s">
        <v>136</v>
      </c>
      <c r="O170" s="16" t="s">
        <v>133</v>
      </c>
    </row>
    <row r="171" spans="2:19" x14ac:dyDescent="0.2">
      <c r="C171" s="16" t="s">
        <v>137</v>
      </c>
      <c r="M171" s="24">
        <f>M169*2</f>
        <v>600</v>
      </c>
      <c r="N171" s="25">
        <f>N169*2</f>
        <v>600</v>
      </c>
      <c r="O171" s="31" t="s">
        <v>133</v>
      </c>
      <c r="S171" s="16" t="s">
        <v>138</v>
      </c>
    </row>
    <row r="172" spans="2:19" x14ac:dyDescent="0.2">
      <c r="M172" s="1"/>
      <c r="N172" s="1"/>
      <c r="Q172" s="1"/>
      <c r="R172" s="1"/>
      <c r="S172" s="1"/>
    </row>
    <row r="173" spans="2:19" ht="18" x14ac:dyDescent="0.2">
      <c r="B173" s="16" t="s">
        <v>139</v>
      </c>
      <c r="M173" s="24">
        <v>1.75</v>
      </c>
      <c r="N173" s="25">
        <v>1.75</v>
      </c>
      <c r="O173" s="16" t="s">
        <v>503</v>
      </c>
      <c r="S173" s="16" t="s">
        <v>140</v>
      </c>
    </row>
    <row r="174" spans="2:19" ht="15.75" x14ac:dyDescent="0.25">
      <c r="M174" s="2"/>
      <c r="N174" s="2"/>
    </row>
    <row r="175" spans="2:19" ht="15.75" x14ac:dyDescent="0.25">
      <c r="M175" s="2"/>
      <c r="N175" s="2"/>
    </row>
    <row r="176" spans="2:19" ht="15.75" x14ac:dyDescent="0.25">
      <c r="B176" s="16" t="s">
        <v>141</v>
      </c>
      <c r="M176" s="2"/>
      <c r="N176" s="2"/>
    </row>
    <row r="177" spans="2:9" x14ac:dyDescent="0.2">
      <c r="B177" s="19"/>
      <c r="C177" s="74" t="s">
        <v>37</v>
      </c>
      <c r="D177" s="76"/>
      <c r="E177" s="76"/>
      <c r="F177" s="76"/>
      <c r="G177" s="76"/>
      <c r="H177" s="75"/>
    </row>
    <row r="178" spans="2:9" ht="38.25" x14ac:dyDescent="0.2">
      <c r="B178" s="19" t="s">
        <v>41</v>
      </c>
      <c r="C178" s="38" t="s">
        <v>42</v>
      </c>
      <c r="D178" s="38" t="s">
        <v>43</v>
      </c>
      <c r="E178" s="38" t="s">
        <v>44</v>
      </c>
      <c r="F178" s="39" t="s">
        <v>142</v>
      </c>
      <c r="G178" s="39" t="s">
        <v>143</v>
      </c>
      <c r="H178" s="39" t="s">
        <v>144</v>
      </c>
      <c r="I178" s="3" t="s">
        <v>58</v>
      </c>
    </row>
    <row r="179" spans="2:9" x14ac:dyDescent="0.2">
      <c r="B179" s="32" t="s">
        <v>46</v>
      </c>
      <c r="C179" s="21">
        <f t="shared" ref="C179:E184" si="19">C61</f>
        <v>30</v>
      </c>
      <c r="D179" s="21">
        <f t="shared" si="19"/>
        <v>36</v>
      </c>
      <c r="E179" s="21">
        <f t="shared" si="19"/>
        <v>200</v>
      </c>
      <c r="F179" s="21">
        <f>PI()*((D179/2/12)^2-(C179/2/12)^2)</f>
        <v>2.1598449493429825</v>
      </c>
      <c r="G179" s="21">
        <f>F179*E179*$M$173</f>
        <v>755.94573227004389</v>
      </c>
      <c r="H179" s="21">
        <f>(E179-0)*((D179/12/2)^2*PI())</f>
        <v>1413.7166941154069</v>
      </c>
      <c r="I179" s="3" t="s">
        <v>145</v>
      </c>
    </row>
    <row r="180" spans="2:9" x14ac:dyDescent="0.2">
      <c r="B180" s="32" t="s">
        <v>48</v>
      </c>
      <c r="C180" s="21">
        <f t="shared" si="19"/>
        <v>20</v>
      </c>
      <c r="D180" s="21">
        <f t="shared" si="19"/>
        <v>26</v>
      </c>
      <c r="E180" s="21">
        <f t="shared" si="19"/>
        <v>600</v>
      </c>
      <c r="F180" s="21">
        <f t="shared" ref="F180:F184" si="20">PI()*((D180/2/12)^2-(C180/2/12)^2)</f>
        <v>1.5053464798451084</v>
      </c>
      <c r="G180" s="21">
        <f>F180*E180*$M$173</f>
        <v>1580.6138038373638</v>
      </c>
      <c r="H180" s="21">
        <f>(E180-E179)*((D180/12/2)^2*PI())</f>
        <v>1474.8032179352083</v>
      </c>
      <c r="I180" s="3" t="s">
        <v>146</v>
      </c>
    </row>
    <row r="181" spans="2:9" x14ac:dyDescent="0.2">
      <c r="B181" s="32" t="s">
        <v>50</v>
      </c>
      <c r="C181" s="21">
        <f t="shared" si="19"/>
        <v>13.375</v>
      </c>
      <c r="D181" s="21">
        <f t="shared" si="19"/>
        <v>17.5</v>
      </c>
      <c r="E181" s="21">
        <f t="shared" si="19"/>
        <v>4000</v>
      </c>
      <c r="F181" s="21">
        <f t="shared" si="20"/>
        <v>0.6946376334475477</v>
      </c>
      <c r="G181" s="21">
        <f>F181*E181*$M$173</f>
        <v>4862.4634341328338</v>
      </c>
      <c r="H181" s="21">
        <f>(E181-E180)*((D181/12/2)^2*PI())</f>
        <v>5679.1377613721725</v>
      </c>
      <c r="I181" s="3" t="s">
        <v>147</v>
      </c>
    </row>
    <row r="182" spans="2:9" x14ac:dyDescent="0.2">
      <c r="B182" s="32" t="s">
        <v>51</v>
      </c>
      <c r="C182" s="21">
        <f t="shared" si="19"/>
        <v>9.625</v>
      </c>
      <c r="D182" s="21">
        <f t="shared" si="19"/>
        <v>12.25</v>
      </c>
      <c r="E182" s="21">
        <f t="shared" si="19"/>
        <v>13000</v>
      </c>
      <c r="F182" s="21">
        <f t="shared" si="20"/>
        <v>0.31318774419331818</v>
      </c>
      <c r="G182" s="21">
        <f>F182*$M$173*IF($M$32=1,MIN(E182,$M$169),IF($M$32=2,MIN(E182,$M$171),IF($M$32=3,E182,"ERROR")))</f>
        <v>328.84713140298408</v>
      </c>
      <c r="H182" s="21">
        <f>(E182-E181)*((D182/12/2)^2*PI())</f>
        <v>7366.1757434268466</v>
      </c>
      <c r="I182" s="3" t="s">
        <v>148</v>
      </c>
    </row>
    <row r="183" spans="2:9" x14ac:dyDescent="0.2">
      <c r="B183" s="32" t="s">
        <v>52</v>
      </c>
      <c r="C183" s="21">
        <f t="shared" si="19"/>
        <v>7.625</v>
      </c>
      <c r="D183" s="21">
        <f t="shared" si="19"/>
        <v>9.5</v>
      </c>
      <c r="E183" s="21">
        <f t="shared" si="19"/>
        <v>4000</v>
      </c>
      <c r="F183" s="21">
        <f t="shared" si="20"/>
        <v>0.1751294732836107</v>
      </c>
      <c r="G183" s="21">
        <f>F183*$M$173*IF($M$32=1,MIN(E183,$M$169),IF($M$32=2,MIN(E183,$M$171),IF($M$32=3,E183,"ERROR")))</f>
        <v>183.88594694779124</v>
      </c>
      <c r="H183" s="21">
        <f>(E183)*((D183/12/2)^2*PI())</f>
        <v>1968.9495624061028</v>
      </c>
    </row>
    <row r="184" spans="2:9" x14ac:dyDescent="0.2">
      <c r="B184" s="32" t="s">
        <v>53</v>
      </c>
      <c r="C184" s="21">
        <f t="shared" si="19"/>
        <v>4.5</v>
      </c>
      <c r="D184" s="21">
        <f t="shared" si="19"/>
        <v>6.5</v>
      </c>
      <c r="E184" s="21">
        <f t="shared" si="19"/>
        <v>20000</v>
      </c>
      <c r="F184" s="21">
        <f t="shared" si="20"/>
        <v>0.11999138607461012</v>
      </c>
      <c r="G184" s="21">
        <f>0</f>
        <v>0</v>
      </c>
      <c r="H184" s="21"/>
    </row>
    <row r="185" spans="2:9" x14ac:dyDescent="0.2">
      <c r="B185" s="19"/>
      <c r="C185" s="74" t="s">
        <v>149</v>
      </c>
      <c r="D185" s="76"/>
      <c r="E185" s="76"/>
      <c r="F185" s="76"/>
      <c r="G185" s="76"/>
      <c r="H185" s="75"/>
    </row>
    <row r="186" spans="2:9" ht="38.25" x14ac:dyDescent="0.2">
      <c r="B186" s="19" t="s">
        <v>41</v>
      </c>
      <c r="C186" s="38" t="s">
        <v>42</v>
      </c>
      <c r="D186" s="38" t="s">
        <v>43</v>
      </c>
      <c r="E186" s="38" t="s">
        <v>44</v>
      </c>
      <c r="F186" s="19" t="s">
        <v>142</v>
      </c>
      <c r="G186" s="19" t="s">
        <v>143</v>
      </c>
      <c r="H186" s="19" t="s">
        <v>144</v>
      </c>
    </row>
    <row r="187" spans="2:9" x14ac:dyDescent="0.2">
      <c r="B187" s="32" t="s">
        <v>46</v>
      </c>
      <c r="C187" s="21">
        <f t="shared" ref="C187:E192" si="21">F61</f>
        <v>20</v>
      </c>
      <c r="D187" s="21">
        <f t="shared" si="21"/>
        <v>26</v>
      </c>
      <c r="E187" s="21">
        <f t="shared" si="21"/>
        <v>50</v>
      </c>
      <c r="F187" s="21">
        <f>PI()*((D187/2/12)^2-(C187/2/12)^2)</f>
        <v>1.5053464798451084</v>
      </c>
      <c r="G187" s="21">
        <f>F187*E187*$M$173</f>
        <v>131.71781698644696</v>
      </c>
      <c r="H187" s="21">
        <f>(E187-0)*((D187/12/2)^2*PI())</f>
        <v>184.35040224190104</v>
      </c>
    </row>
    <row r="188" spans="2:9" x14ac:dyDescent="0.2">
      <c r="B188" s="32" t="s">
        <v>48</v>
      </c>
      <c r="C188" s="21">
        <f t="shared" si="21"/>
        <v>0</v>
      </c>
      <c r="D188" s="21">
        <f t="shared" si="21"/>
        <v>0</v>
      </c>
      <c r="E188" s="21">
        <f t="shared" si="21"/>
        <v>0</v>
      </c>
      <c r="F188" s="21">
        <f t="shared" ref="F188:F192" si="22">PI()*((D188/2/12)^2-(C188/2/12)^2)</f>
        <v>0</v>
      </c>
      <c r="G188" s="21">
        <f>F188*E188*$M$173</f>
        <v>0</v>
      </c>
      <c r="H188" s="21">
        <f>(E188-E187)*((D188/12/2)^2*PI())</f>
        <v>0</v>
      </c>
    </row>
    <row r="189" spans="2:9" x14ac:dyDescent="0.2">
      <c r="B189" s="32" t="s">
        <v>50</v>
      </c>
      <c r="C189" s="21">
        <f t="shared" si="21"/>
        <v>11.75</v>
      </c>
      <c r="D189" s="21">
        <f t="shared" si="21"/>
        <v>14.75</v>
      </c>
      <c r="E189" s="21">
        <f t="shared" si="21"/>
        <v>1000</v>
      </c>
      <c r="F189" s="21">
        <f t="shared" si="22"/>
        <v>0.43360523604234141</v>
      </c>
      <c r="G189" s="21">
        <f>F189*E189*$M$173</f>
        <v>758.80916307409746</v>
      </c>
      <c r="H189" s="21">
        <f>(E189-E188)*((D189/12/2)^2*PI())</f>
        <v>1186.6193605844262</v>
      </c>
    </row>
    <row r="190" spans="2:9" x14ac:dyDescent="0.2">
      <c r="B190" s="32" t="s">
        <v>51</v>
      </c>
      <c r="C190" s="21">
        <f t="shared" si="21"/>
        <v>0</v>
      </c>
      <c r="D190" s="21">
        <f t="shared" si="21"/>
        <v>0</v>
      </c>
      <c r="E190" s="21">
        <f t="shared" si="21"/>
        <v>0</v>
      </c>
      <c r="F190" s="21">
        <f t="shared" si="22"/>
        <v>0</v>
      </c>
      <c r="G190" s="21">
        <f>F190*$M$173*IF($M$32=1,MIN(E190,$M$169),IF($M$32=2,MIN(E190,$M$171),IF($M$32=3,E190,"ERROR")))</f>
        <v>0</v>
      </c>
      <c r="H190" s="21">
        <f>(E190-E189)*((D190/12/2)^2*PI())</f>
        <v>0</v>
      </c>
    </row>
    <row r="191" spans="2:9" x14ac:dyDescent="0.2">
      <c r="B191" s="32" t="s">
        <v>52</v>
      </c>
      <c r="C191" s="21">
        <f t="shared" si="21"/>
        <v>7</v>
      </c>
      <c r="D191" s="21">
        <f t="shared" si="21"/>
        <v>8.75</v>
      </c>
      <c r="E191" s="21">
        <f t="shared" si="21"/>
        <v>7240</v>
      </c>
      <c r="F191" s="21">
        <f t="shared" si="22"/>
        <v>0.15033011721279271</v>
      </c>
      <c r="G191" s="21">
        <f>F191*$M$173*IF($M$32=1,MIN(E191,$M$169),IF($M$32=2,MIN(E191,$M$171),IF($M$32=3,E191,"ERROR")))</f>
        <v>157.84662307343237</v>
      </c>
      <c r="H191" s="21">
        <f>(E191-E189)*((D191/12/2)^2*PI())</f>
        <v>2605.7220316884086</v>
      </c>
    </row>
    <row r="192" spans="2:9" x14ac:dyDescent="0.2">
      <c r="B192" s="32" t="s">
        <v>53</v>
      </c>
      <c r="C192" s="21">
        <f t="shared" si="21"/>
        <v>2.375</v>
      </c>
      <c r="D192" s="21">
        <f t="shared" si="21"/>
        <v>6</v>
      </c>
      <c r="E192" s="21">
        <f t="shared" si="21"/>
        <v>7240</v>
      </c>
      <c r="F192" s="21">
        <f t="shared" si="22"/>
        <v>0.16558470393676672</v>
      </c>
      <c r="G192" s="21">
        <f>0</f>
        <v>0</v>
      </c>
      <c r="H192" s="21"/>
    </row>
    <row r="193" spans="2:8" x14ac:dyDescent="0.2">
      <c r="B193" s="19"/>
      <c r="C193" s="74" t="s">
        <v>39</v>
      </c>
      <c r="D193" s="76"/>
      <c r="E193" s="76"/>
      <c r="F193" s="76"/>
      <c r="G193" s="76"/>
      <c r="H193" s="75"/>
    </row>
    <row r="194" spans="2:8" ht="38.25" x14ac:dyDescent="0.2">
      <c r="B194" s="19" t="s">
        <v>41</v>
      </c>
      <c r="C194" s="38" t="s">
        <v>42</v>
      </c>
      <c r="D194" s="38" t="s">
        <v>43</v>
      </c>
      <c r="E194" s="38" t="s">
        <v>44</v>
      </c>
      <c r="F194" s="39" t="s">
        <v>142</v>
      </c>
      <c r="G194" s="39" t="s">
        <v>143</v>
      </c>
      <c r="H194" s="39" t="s">
        <v>144</v>
      </c>
    </row>
    <row r="195" spans="2:8" x14ac:dyDescent="0.2">
      <c r="B195" s="32" t="s">
        <v>46</v>
      </c>
      <c r="C195" s="21">
        <f t="shared" ref="C195:E200" si="23">I61</f>
        <v>11.75</v>
      </c>
      <c r="D195" s="21">
        <f t="shared" si="23"/>
        <v>14.75</v>
      </c>
      <c r="E195" s="21">
        <f t="shared" si="23"/>
        <v>721.59999999999991</v>
      </c>
      <c r="F195" s="21">
        <f>PI()*((D195/2/12)^2-(C195/2/12)^2)</f>
        <v>0.43360523604234141</v>
      </c>
      <c r="G195" s="21">
        <f>F195*E195*$M$173</f>
        <v>547.55669207426877</v>
      </c>
      <c r="H195" s="21">
        <f>(E195-0)*((D195/12/2)^2*PI())</f>
        <v>856.26453059772177</v>
      </c>
    </row>
    <row r="196" spans="2:8" x14ac:dyDescent="0.2">
      <c r="B196" s="32" t="s">
        <v>48</v>
      </c>
      <c r="C196" s="21">
        <f t="shared" si="23"/>
        <v>0</v>
      </c>
      <c r="D196" s="21">
        <f t="shared" si="23"/>
        <v>0</v>
      </c>
      <c r="E196" s="21">
        <f t="shared" si="23"/>
        <v>0</v>
      </c>
      <c r="F196" s="21">
        <f t="shared" ref="F196:F200" si="24">PI()*((D196/2/12)^2-(C196/2/12)^2)</f>
        <v>0</v>
      </c>
      <c r="G196" s="21">
        <f>F196*E196*$M$173</f>
        <v>0</v>
      </c>
      <c r="H196" s="21">
        <f>(E196-E195)*((D196/12/2)^2*PI())</f>
        <v>0</v>
      </c>
    </row>
    <row r="197" spans="2:8" x14ac:dyDescent="0.2">
      <c r="B197" s="32" t="s">
        <v>50</v>
      </c>
      <c r="C197" s="21">
        <f t="shared" si="23"/>
        <v>0</v>
      </c>
      <c r="D197" s="21">
        <f t="shared" si="23"/>
        <v>0</v>
      </c>
      <c r="E197" s="21">
        <f t="shared" si="23"/>
        <v>0</v>
      </c>
      <c r="F197" s="21">
        <f t="shared" si="24"/>
        <v>0</v>
      </c>
      <c r="G197" s="21">
        <f>F197*E197*$M$173</f>
        <v>0</v>
      </c>
      <c r="H197" s="21">
        <f>(E197-E196)*((D197/12/2)^2*PI())</f>
        <v>0</v>
      </c>
    </row>
    <row r="198" spans="2:8" x14ac:dyDescent="0.2">
      <c r="B198" s="32" t="s">
        <v>51</v>
      </c>
      <c r="C198" s="21">
        <f t="shared" si="23"/>
        <v>0</v>
      </c>
      <c r="D198" s="21">
        <f t="shared" si="23"/>
        <v>0</v>
      </c>
      <c r="E198" s="21">
        <f t="shared" si="23"/>
        <v>0</v>
      </c>
      <c r="F198" s="21">
        <f t="shared" si="24"/>
        <v>0</v>
      </c>
      <c r="G198" s="21">
        <f>F198*$M$173*IF($M$32=1,MIN(E198,$M$169),IF($M$32=2,MIN(E198,$M$171),IF($M$32=3,E198,"ERROR")))</f>
        <v>0</v>
      </c>
      <c r="H198" s="21">
        <f>(E198-E197)*((D198/12/2)^2*PI())</f>
        <v>0</v>
      </c>
    </row>
    <row r="199" spans="2:8" x14ac:dyDescent="0.2">
      <c r="B199" s="32" t="s">
        <v>52</v>
      </c>
      <c r="C199" s="21">
        <f t="shared" si="23"/>
        <v>4.5</v>
      </c>
      <c r="D199" s="21">
        <f t="shared" si="23"/>
        <v>6.125</v>
      </c>
      <c r="E199" s="21">
        <f t="shared" si="23"/>
        <v>6068</v>
      </c>
      <c r="F199" s="21">
        <f t="shared" si="24"/>
        <v>9.4169376145201808E-2</v>
      </c>
      <c r="G199" s="21">
        <f>F199*$M$173*IF($M$32=1,MIN(E199,$M$169),IF($M$32=2,MIN(E199,$M$171),IF($M$32=3,E199,"ERROR")))</f>
        <v>98.877844952461899</v>
      </c>
      <c r="H199" s="21">
        <f>(E199-E197)*((D199/12/2)^2*PI())</f>
        <v>1241.6098447531697</v>
      </c>
    </row>
    <row r="200" spans="2:8" x14ac:dyDescent="0.2">
      <c r="B200" s="32" t="s">
        <v>53</v>
      </c>
      <c r="C200" s="21">
        <f t="shared" si="23"/>
        <v>2.375</v>
      </c>
      <c r="D200" s="21">
        <f t="shared" si="23"/>
        <v>6.125</v>
      </c>
      <c r="E200" s="21">
        <f t="shared" si="23"/>
        <v>6232</v>
      </c>
      <c r="F200" s="21">
        <f t="shared" si="24"/>
        <v>0.17385115596037262</v>
      </c>
      <c r="G200" s="21">
        <f>0</f>
        <v>0</v>
      </c>
      <c r="H200" s="21"/>
    </row>
    <row r="201" spans="2:8" x14ac:dyDescent="0.2">
      <c r="B201" s="19"/>
      <c r="C201" s="74" t="s">
        <v>40</v>
      </c>
      <c r="D201" s="76"/>
      <c r="E201" s="76"/>
      <c r="F201" s="76"/>
      <c r="G201" s="76"/>
      <c r="H201" s="75"/>
    </row>
    <row r="202" spans="2:8" ht="38.25" x14ac:dyDescent="0.2">
      <c r="B202" s="19" t="s">
        <v>41</v>
      </c>
      <c r="C202" s="38" t="s">
        <v>42</v>
      </c>
      <c r="D202" s="38" t="s">
        <v>43</v>
      </c>
      <c r="E202" s="38" t="s">
        <v>44</v>
      </c>
      <c r="F202" s="39" t="s">
        <v>142</v>
      </c>
      <c r="G202" s="39" t="s">
        <v>143</v>
      </c>
      <c r="H202" s="39" t="s">
        <v>144</v>
      </c>
    </row>
    <row r="203" spans="2:8" x14ac:dyDescent="0.2">
      <c r="B203" s="32" t="s">
        <v>46</v>
      </c>
      <c r="C203" s="21">
        <f t="shared" ref="C203:E208" si="25">L61</f>
        <v>0</v>
      </c>
      <c r="D203" s="21">
        <f t="shared" si="25"/>
        <v>0</v>
      </c>
      <c r="E203" s="21">
        <f t="shared" si="25"/>
        <v>0</v>
      </c>
      <c r="F203" s="21">
        <f>PI()*((D203/2/12)^2-(C203/2/12)^2)</f>
        <v>0</v>
      </c>
      <c r="G203" s="21">
        <f>F203*E203*$M$173</f>
        <v>0</v>
      </c>
      <c r="H203" s="21">
        <f>(E203-0)*((D203/12/2)^2*PI())</f>
        <v>0</v>
      </c>
    </row>
    <row r="204" spans="2:8" x14ac:dyDescent="0.2">
      <c r="B204" s="32" t="s">
        <v>48</v>
      </c>
      <c r="C204" s="21">
        <f t="shared" si="25"/>
        <v>0</v>
      </c>
      <c r="D204" s="21">
        <f t="shared" si="25"/>
        <v>0</v>
      </c>
      <c r="E204" s="21">
        <f t="shared" si="25"/>
        <v>0</v>
      </c>
      <c r="F204" s="21">
        <f t="shared" ref="F204:F208" si="26">PI()*((D204/2/12)^2-(C204/2/12)^2)</f>
        <v>0</v>
      </c>
      <c r="G204" s="21">
        <f>F204*E204*$M$173</f>
        <v>0</v>
      </c>
      <c r="H204" s="21">
        <f>(E204-E203)*((D204/12/2)^2*PI())</f>
        <v>0</v>
      </c>
    </row>
    <row r="205" spans="2:8" x14ac:dyDescent="0.2">
      <c r="B205" s="32" t="s">
        <v>50</v>
      </c>
      <c r="C205" s="21">
        <f t="shared" si="25"/>
        <v>0</v>
      </c>
      <c r="D205" s="21">
        <f t="shared" si="25"/>
        <v>0</v>
      </c>
      <c r="E205" s="21">
        <f t="shared" si="25"/>
        <v>0</v>
      </c>
      <c r="F205" s="21">
        <f t="shared" si="26"/>
        <v>0</v>
      </c>
      <c r="G205" s="21">
        <f>F205*E205*$M$173</f>
        <v>0</v>
      </c>
      <c r="H205" s="21">
        <f>(E205-E204)*((D205/12/2)^2*PI())</f>
        <v>0</v>
      </c>
    </row>
    <row r="206" spans="2:8" x14ac:dyDescent="0.2">
      <c r="B206" s="32" t="s">
        <v>51</v>
      </c>
      <c r="C206" s="21">
        <f t="shared" si="25"/>
        <v>0</v>
      </c>
      <c r="D206" s="21">
        <f t="shared" si="25"/>
        <v>0</v>
      </c>
      <c r="E206" s="21">
        <f t="shared" si="25"/>
        <v>0</v>
      </c>
      <c r="F206" s="21">
        <f t="shared" si="26"/>
        <v>0</v>
      </c>
      <c r="G206" s="21">
        <f>F206*$M$173*IF($M$32=1,MIN(E206,$M$169),IF($M$32=2,MIN(E206,$M$171),IF($M$32=3,E206,"ERROR")))</f>
        <v>0</v>
      </c>
      <c r="H206" s="21">
        <f>(E206-E205)*((D206/12/2)^2*PI())</f>
        <v>0</v>
      </c>
    </row>
    <row r="207" spans="2:8" x14ac:dyDescent="0.2">
      <c r="B207" s="32" t="s">
        <v>52</v>
      </c>
      <c r="C207" s="21">
        <f t="shared" si="25"/>
        <v>0</v>
      </c>
      <c r="D207" s="21">
        <f t="shared" si="25"/>
        <v>0</v>
      </c>
      <c r="E207" s="21">
        <f t="shared" si="25"/>
        <v>0</v>
      </c>
      <c r="F207" s="21">
        <f t="shared" si="26"/>
        <v>0</v>
      </c>
      <c r="G207" s="21">
        <f>F207*$M$173*IF($M$32=1,MIN(E207,$M$169),IF($M$32=2,MIN(E207,$M$171),IF($M$32=3,E207,"ERROR")))</f>
        <v>0</v>
      </c>
      <c r="H207" s="21">
        <f>(E207-E205)*((D207/12/2)^2*PI())</f>
        <v>0</v>
      </c>
    </row>
    <row r="208" spans="2:8" x14ac:dyDescent="0.2">
      <c r="B208" s="32" t="s">
        <v>53</v>
      </c>
      <c r="C208" s="21">
        <f t="shared" si="25"/>
        <v>0</v>
      </c>
      <c r="D208" s="21">
        <f t="shared" si="25"/>
        <v>0</v>
      </c>
      <c r="E208" s="21">
        <f t="shared" si="25"/>
        <v>0</v>
      </c>
      <c r="F208" s="21">
        <f t="shared" si="26"/>
        <v>0</v>
      </c>
      <c r="G208" s="21">
        <f>0</f>
        <v>0</v>
      </c>
      <c r="H208" s="21"/>
    </row>
    <row r="209" spans="1:19" x14ac:dyDescent="0.2">
      <c r="B209" s="40"/>
      <c r="C209" s="40"/>
      <c r="D209" s="40"/>
      <c r="E209" s="40"/>
      <c r="F209" s="40"/>
      <c r="G209" s="40"/>
    </row>
    <row r="210" spans="1:19" x14ac:dyDescent="0.2">
      <c r="B210" s="40"/>
      <c r="C210" s="40"/>
      <c r="D210" s="40"/>
      <c r="E210" s="40"/>
      <c r="F210" s="40"/>
      <c r="G210" s="40"/>
    </row>
    <row r="211" spans="1:19" x14ac:dyDescent="0.2">
      <c r="B211" s="16" t="s">
        <v>150</v>
      </c>
      <c r="M211" s="1" t="s">
        <v>2</v>
      </c>
      <c r="N211" s="1" t="s">
        <v>3</v>
      </c>
      <c r="O211" s="16" t="s">
        <v>74</v>
      </c>
      <c r="Q211" s="1" t="s">
        <v>4</v>
      </c>
      <c r="R211" s="1"/>
      <c r="S211" s="1" t="s">
        <v>5</v>
      </c>
    </row>
    <row r="212" spans="1:19" ht="18" x14ac:dyDescent="0.2">
      <c r="C212" s="16" t="s">
        <v>151</v>
      </c>
      <c r="M212" s="21">
        <f>SUM(G179:G184)/E184</f>
        <v>0.38558780242955082</v>
      </c>
      <c r="N212" s="12" t="s">
        <v>76</v>
      </c>
      <c r="O212" s="16" t="s">
        <v>504</v>
      </c>
    </row>
    <row r="213" spans="1:19" ht="18" x14ac:dyDescent="0.2">
      <c r="C213" s="16" t="s">
        <v>152</v>
      </c>
      <c r="M213" s="21">
        <f>SUM(G187:G192)/E192</f>
        <v>0.14480298385828408</v>
      </c>
      <c r="N213" s="12" t="s">
        <v>76</v>
      </c>
      <c r="O213" s="16" t="s">
        <v>504</v>
      </c>
    </row>
    <row r="214" spans="1:19" ht="18" x14ac:dyDescent="0.2">
      <c r="C214" s="16" t="s">
        <v>153</v>
      </c>
      <c r="M214" s="21">
        <f>SUM(G195:G200)/E200</f>
        <v>0.10372826332264613</v>
      </c>
      <c r="N214" s="12" t="s">
        <v>76</v>
      </c>
      <c r="O214" s="16" t="s">
        <v>504</v>
      </c>
    </row>
    <row r="215" spans="1:19" ht="18" x14ac:dyDescent="0.2">
      <c r="C215" s="16" t="s">
        <v>154</v>
      </c>
      <c r="M215" s="21" t="str">
        <f>IFERROR(SUM(G203:G208)/E208,"NA")</f>
        <v>NA</v>
      </c>
      <c r="N215" s="12" t="s">
        <v>76</v>
      </c>
      <c r="O215" s="16" t="s">
        <v>504</v>
      </c>
    </row>
    <row r="216" spans="1:19" ht="15.75" x14ac:dyDescent="0.25">
      <c r="M216" s="2"/>
      <c r="N216" s="2"/>
    </row>
    <row r="217" spans="1:19" ht="15.75" x14ac:dyDescent="0.25">
      <c r="B217" s="16" t="s">
        <v>155</v>
      </c>
      <c r="M217" s="2"/>
      <c r="N217" s="2"/>
    </row>
    <row r="218" spans="1:19" ht="18.75" x14ac:dyDescent="0.25">
      <c r="C218" s="16" t="s">
        <v>156</v>
      </c>
      <c r="M218" s="21">
        <f>'Required OPGEE data'!C7*'Required OPGEE data'!C9*(IF(M31=1,M214,IF(M31=2,M213,IF(M31=3,M212,IF(M31=0,M215,"ERROR")))))</f>
        <v>8386.9888250718141</v>
      </c>
      <c r="N218" s="2"/>
      <c r="O218" s="31" t="s">
        <v>157</v>
      </c>
    </row>
    <row r="219" spans="1:19" ht="18" x14ac:dyDescent="0.2">
      <c r="C219" s="16" t="s">
        <v>158</v>
      </c>
      <c r="M219" s="21">
        <f>'Required OPGEE data'!C7*'Required OPGEE data'!C10*(IF(M31=1,M214,IF(M31=2,M213,IF(M31=3,M212,IF(M31=0,M215,"ERROR")))))</f>
        <v>5241.8680156698838</v>
      </c>
      <c r="O219" s="31" t="s">
        <v>157</v>
      </c>
    </row>
    <row r="221" spans="1:19" x14ac:dyDescent="0.2">
      <c r="A221" s="16" t="s">
        <v>159</v>
      </c>
      <c r="M221" s="1" t="s">
        <v>2</v>
      </c>
      <c r="N221" s="1" t="s">
        <v>3</v>
      </c>
      <c r="O221" s="16" t="s">
        <v>74</v>
      </c>
      <c r="Q221" s="1" t="s">
        <v>4</v>
      </c>
      <c r="R221" s="1"/>
      <c r="S221" s="1" t="s">
        <v>5</v>
      </c>
    </row>
    <row r="222" spans="1:19" x14ac:dyDescent="0.2">
      <c r="B222" s="16" t="s">
        <v>160</v>
      </c>
      <c r="M222" s="59">
        <v>1</v>
      </c>
      <c r="N222" s="25">
        <v>1</v>
      </c>
      <c r="O222" s="16" t="s">
        <v>161</v>
      </c>
      <c r="S222" s="16" t="s">
        <v>162</v>
      </c>
    </row>
    <row r="223" spans="1:19" x14ac:dyDescent="0.2">
      <c r="B223" s="16" t="s">
        <v>163</v>
      </c>
    </row>
    <row r="224" spans="1:19" ht="18" x14ac:dyDescent="0.2">
      <c r="C224" s="16" t="s">
        <v>164</v>
      </c>
      <c r="M224" s="21">
        <f>SUM(H179:H183)/E184</f>
        <v>0.89513914896278679</v>
      </c>
      <c r="N224" s="12" t="s">
        <v>76</v>
      </c>
      <c r="O224" s="16" t="s">
        <v>504</v>
      </c>
    </row>
    <row r="225" spans="2:20" ht="18" x14ac:dyDescent="0.2">
      <c r="C225" s="16" t="s">
        <v>165</v>
      </c>
      <c r="M225" s="21">
        <f>SUM(H187:H191)/E192</f>
        <v>0.54926682244678671</v>
      </c>
      <c r="N225" s="12" t="s">
        <v>76</v>
      </c>
      <c r="O225" s="16" t="s">
        <v>504</v>
      </c>
    </row>
    <row r="226" spans="2:20" ht="18" x14ac:dyDescent="0.2">
      <c r="C226" s="16" t="s">
        <v>166</v>
      </c>
      <c r="M226" s="21">
        <f>SUM(H195:H199)/E200</f>
        <v>0.33662939270713921</v>
      </c>
      <c r="N226" s="12" t="s">
        <v>76</v>
      </c>
      <c r="O226" s="16" t="s">
        <v>504</v>
      </c>
    </row>
    <row r="227" spans="2:20" ht="18" x14ac:dyDescent="0.2">
      <c r="C227" s="16" t="s">
        <v>167</v>
      </c>
      <c r="M227" s="21" t="s">
        <v>76</v>
      </c>
      <c r="N227" s="12" t="s">
        <v>76</v>
      </c>
      <c r="O227" s="16" t="s">
        <v>504</v>
      </c>
    </row>
    <row r="229" spans="2:20" x14ac:dyDescent="0.2">
      <c r="B229" s="16" t="s">
        <v>168</v>
      </c>
    </row>
    <row r="230" spans="2:20" ht="18" x14ac:dyDescent="0.2">
      <c r="C230" s="16" t="s">
        <v>169</v>
      </c>
      <c r="M230" s="21">
        <f>'Required OPGEE data'!C7*'Required OPGEE data'!C9*(IF(M31=1,M226,IF(M31=2,M225,IF(M31=3,M224,IF(M31=0,M227,"ERROR")))))*M222</f>
        <v>31813.534356117885</v>
      </c>
      <c r="O230" s="31" t="s">
        <v>170</v>
      </c>
    </row>
    <row r="231" spans="2:20" ht="18" x14ac:dyDescent="0.2">
      <c r="C231" s="16" t="s">
        <v>171</v>
      </c>
      <c r="M231" s="21">
        <f>'Required OPGEE data'!C7*'Required OPGEE data'!C10*(IF(M31=1,M226,IF(M31=2,M225,IF(M31=3,M224,IF(M31=0,M227,"ERROR")))))*M222</f>
        <v>19883.458972573681</v>
      </c>
      <c r="O231" s="31" t="s">
        <v>170</v>
      </c>
    </row>
    <row r="232" spans="2:20" x14ac:dyDescent="0.2">
      <c r="B232" s="16" t="s">
        <v>172</v>
      </c>
      <c r="O232" s="31"/>
    </row>
    <row r="233" spans="2:20" x14ac:dyDescent="0.2">
      <c r="B233" s="19" t="s">
        <v>173</v>
      </c>
      <c r="C233" s="19" t="s">
        <v>174</v>
      </c>
      <c r="D233" s="77" t="s">
        <v>175</v>
      </c>
      <c r="E233" s="77"/>
      <c r="F233" s="77"/>
      <c r="G233" s="77" t="s">
        <v>176</v>
      </c>
      <c r="H233" s="77"/>
      <c r="I233" s="77"/>
      <c r="J233" s="77" t="s">
        <v>10</v>
      </c>
      <c r="K233" s="77"/>
      <c r="L233" s="77"/>
      <c r="M233" s="77" t="s">
        <v>597</v>
      </c>
      <c r="N233" s="77"/>
      <c r="O233" s="77"/>
      <c r="P233" s="77" t="s">
        <v>598</v>
      </c>
      <c r="Q233" s="77"/>
      <c r="R233" s="77"/>
    </row>
    <row r="234" spans="2:20" ht="38.25" x14ac:dyDescent="0.2">
      <c r="B234" s="19" t="s">
        <v>177</v>
      </c>
      <c r="C234" s="19" t="s">
        <v>178</v>
      </c>
      <c r="D234" s="19" t="s">
        <v>179</v>
      </c>
      <c r="E234" s="19" t="s">
        <v>180</v>
      </c>
      <c r="F234" s="19" t="s">
        <v>181</v>
      </c>
      <c r="G234" s="19" t="s">
        <v>179</v>
      </c>
      <c r="H234" s="19" t="s">
        <v>180</v>
      </c>
      <c r="I234" s="19" t="s">
        <v>181</v>
      </c>
      <c r="J234" s="19" t="s">
        <v>179</v>
      </c>
      <c r="K234" s="19" t="s">
        <v>180</v>
      </c>
      <c r="L234" s="19" t="s">
        <v>181</v>
      </c>
      <c r="M234" s="19" t="s">
        <v>179</v>
      </c>
      <c r="N234" s="19" t="s">
        <v>180</v>
      </c>
      <c r="O234" s="19" t="s">
        <v>181</v>
      </c>
      <c r="P234" s="19" t="s">
        <v>179</v>
      </c>
      <c r="Q234" s="19" t="s">
        <v>180</v>
      </c>
      <c r="R234" s="19" t="s">
        <v>181</v>
      </c>
      <c r="T234" s="3" t="s">
        <v>58</v>
      </c>
    </row>
    <row r="235" spans="2:20" x14ac:dyDescent="0.2">
      <c r="B235" s="32" t="s">
        <v>183</v>
      </c>
      <c r="C235" s="21">
        <f>(E235*F235+H235*I235+K235*L235)/(E235+H235+K235)</f>
        <v>11.042290748898679</v>
      </c>
      <c r="D235" s="21">
        <f>E235*F235/(E235+H235+K235)</f>
        <v>7.3480176211453738</v>
      </c>
      <c r="E235" s="21">
        <v>1</v>
      </c>
      <c r="F235" s="21">
        <v>8.34</v>
      </c>
      <c r="G235" s="21">
        <f>H235*I235/(E235+H235+K235)</f>
        <v>0.76475770925110131</v>
      </c>
      <c r="H235" s="25">
        <v>0.04</v>
      </c>
      <c r="I235" s="21">
        <v>21.7</v>
      </c>
      <c r="J235" s="21">
        <f>K235*L235/(E235+H235+K235)</f>
        <v>2.929515418502203</v>
      </c>
      <c r="K235" s="25">
        <v>9.5000000000000001E-2</v>
      </c>
      <c r="L235" s="21">
        <v>35</v>
      </c>
      <c r="M235" s="21">
        <v>0</v>
      </c>
      <c r="N235" s="25" t="s">
        <v>161</v>
      </c>
      <c r="O235" s="65">
        <f>0.81*$F$235</f>
        <v>6.7554000000000007</v>
      </c>
      <c r="P235" s="21">
        <v>0</v>
      </c>
      <c r="Q235" s="25" t="s">
        <v>161</v>
      </c>
      <c r="R235" s="21">
        <f t="shared" ref="R235:R237" si="27">2.1*$F$238</f>
        <v>17.430000000000003</v>
      </c>
      <c r="T235" s="3" t="s">
        <v>182</v>
      </c>
    </row>
    <row r="236" spans="2:20" x14ac:dyDescent="0.2">
      <c r="B236" s="32" t="s">
        <v>185</v>
      </c>
      <c r="C236" s="21">
        <f>(E236*F236+H236*I236+K236*L236)/(E236+H236+K236)</f>
        <v>14.020370370370371</v>
      </c>
      <c r="D236" s="21">
        <f>E236*F236/(E236+H236+K236)</f>
        <v>6.1777777777777771</v>
      </c>
      <c r="E236" s="21">
        <v>1</v>
      </c>
      <c r="F236" s="21">
        <v>8.34</v>
      </c>
      <c r="G236" s="21">
        <f t="shared" ref="G236:G237" si="28">H236*I236/(E236+H236+K236)</f>
        <v>2.0092592592592591</v>
      </c>
      <c r="H236" s="25">
        <v>0.125</v>
      </c>
      <c r="I236" s="21">
        <v>21.7</v>
      </c>
      <c r="J236" s="21">
        <f t="shared" ref="J236:J237" si="29">K236*L236/(E236+H236+K236)</f>
        <v>5.833333333333333</v>
      </c>
      <c r="K236" s="25">
        <v>0.22500000000000001</v>
      </c>
      <c r="L236" s="21">
        <v>35</v>
      </c>
      <c r="M236" s="21">
        <v>0</v>
      </c>
      <c r="N236" s="25" t="s">
        <v>161</v>
      </c>
      <c r="O236" s="65">
        <f t="shared" ref="O236:O238" si="30">0.81*$F$235</f>
        <v>6.7554000000000007</v>
      </c>
      <c r="P236" s="21">
        <v>0</v>
      </c>
      <c r="Q236" s="25" t="s">
        <v>161</v>
      </c>
      <c r="R236" s="21">
        <f t="shared" si="27"/>
        <v>17.430000000000003</v>
      </c>
      <c r="T236" s="3" t="s">
        <v>184</v>
      </c>
    </row>
    <row r="237" spans="2:20" x14ac:dyDescent="0.2">
      <c r="B237" s="32" t="s">
        <v>186</v>
      </c>
      <c r="C237" s="21">
        <f>(E237*F237+H237*I237+K237*L237)/(E237+H237+K237)</f>
        <v>15.991803278688526</v>
      </c>
      <c r="D237" s="21">
        <f>E237*F237/(E237+H237+K237)</f>
        <v>5.4688524590163938</v>
      </c>
      <c r="E237" s="21">
        <v>1</v>
      </c>
      <c r="F237" s="21">
        <v>8.34</v>
      </c>
      <c r="G237" s="21">
        <f t="shared" si="28"/>
        <v>2.4901639344262292</v>
      </c>
      <c r="H237" s="25">
        <v>0.17499999999999999</v>
      </c>
      <c r="I237" s="21">
        <v>21.7</v>
      </c>
      <c r="J237" s="21">
        <f t="shared" si="29"/>
        <v>8.0327868852459012</v>
      </c>
      <c r="K237" s="25">
        <v>0.35</v>
      </c>
      <c r="L237" s="21">
        <v>35</v>
      </c>
      <c r="M237" s="21">
        <v>0</v>
      </c>
      <c r="N237" s="25" t="s">
        <v>161</v>
      </c>
      <c r="O237" s="65">
        <f t="shared" si="30"/>
        <v>6.7554000000000007</v>
      </c>
      <c r="P237" s="21">
        <v>0</v>
      </c>
      <c r="Q237" s="25" t="s">
        <v>161</v>
      </c>
      <c r="R237" s="21">
        <f t="shared" si="27"/>
        <v>17.430000000000003</v>
      </c>
    </row>
    <row r="238" spans="2:20" x14ac:dyDescent="0.2">
      <c r="B238" s="32" t="s">
        <v>596</v>
      </c>
      <c r="C238" s="21">
        <v>13.1</v>
      </c>
      <c r="D238" s="21">
        <v>2.5</v>
      </c>
      <c r="E238" s="21">
        <v>1</v>
      </c>
      <c r="F238" s="21">
        <v>8.3000000000000007</v>
      </c>
      <c r="G238" s="21">
        <v>1.0900000000000001</v>
      </c>
      <c r="H238" s="25" t="s">
        <v>161</v>
      </c>
      <c r="I238" s="21">
        <v>21.7</v>
      </c>
      <c r="J238" s="21">
        <v>6</v>
      </c>
      <c r="K238" s="25" t="s">
        <v>161</v>
      </c>
      <c r="L238" s="21">
        <v>35</v>
      </c>
      <c r="M238" s="21">
        <v>3.6</v>
      </c>
      <c r="N238" s="73" t="s">
        <v>161</v>
      </c>
      <c r="O238" s="65">
        <f t="shared" si="30"/>
        <v>6.7554000000000007</v>
      </c>
      <c r="P238" s="21">
        <v>0.72</v>
      </c>
      <c r="Q238" s="25" t="s">
        <v>161</v>
      </c>
      <c r="R238" s="21">
        <f>2.1*$F$238</f>
        <v>17.430000000000003</v>
      </c>
      <c r="T238" s="3" t="s">
        <v>599</v>
      </c>
    </row>
    <row r="240" spans="2:20" ht="15.75" x14ac:dyDescent="0.25">
      <c r="M240" s="1" t="s">
        <v>2</v>
      </c>
      <c r="N240"/>
      <c r="O240" s="16" t="s">
        <v>74</v>
      </c>
      <c r="Q240" s="1" t="s">
        <v>4</v>
      </c>
      <c r="R240" s="1"/>
      <c r="S240" s="1" t="s">
        <v>5</v>
      </c>
    </row>
    <row r="241" spans="1:19" x14ac:dyDescent="0.2">
      <c r="B241" s="16" t="s">
        <v>600</v>
      </c>
      <c r="M241" s="59">
        <v>2</v>
      </c>
      <c r="O241" s="16" t="s">
        <v>161</v>
      </c>
    </row>
    <row r="242" spans="1:19" x14ac:dyDescent="0.2">
      <c r="B242" s="16" t="s">
        <v>187</v>
      </c>
      <c r="M242" s="10">
        <f>'Required OPGEE data'!C40*(M230+M231)*IF(M241=1,C235,IF(M241=2,C236,IF(M241=3,C237,IF(M241=4,C238,C236))))</f>
        <v>5421963.1331177298</v>
      </c>
      <c r="O242" s="16" t="s">
        <v>188</v>
      </c>
    </row>
    <row r="243" spans="1:19" x14ac:dyDescent="0.2">
      <c r="B243" s="40"/>
      <c r="C243" s="16" t="s">
        <v>189</v>
      </c>
      <c r="M243" s="10">
        <f>'Required OPGEE data'!C40*(M230+M231)*IF(M241=1,D235,IF(M241=2,D236,IF(M241=3,D237,IF(M241=4,D238,D236))))</f>
        <v>2389072.6472171103</v>
      </c>
      <c r="O243" s="16" t="s">
        <v>188</v>
      </c>
    </row>
    <row r="244" spans="1:19" x14ac:dyDescent="0.2">
      <c r="B244" s="40"/>
      <c r="C244" s="16" t="s">
        <v>190</v>
      </c>
      <c r="M244" s="10">
        <f>'Required OPGEE data'!C40*(M230+M231)*IF(M241=1,G235,IF(M241=2,G237,IF(M241=3,J237,IF(M241=4,G238,G236))))</f>
        <v>962997.17419816949</v>
      </c>
      <c r="O244" s="16" t="s">
        <v>188</v>
      </c>
    </row>
    <row r="245" spans="1:19" x14ac:dyDescent="0.2">
      <c r="B245" s="40"/>
      <c r="C245" s="16" t="s">
        <v>601</v>
      </c>
      <c r="M245" s="10">
        <f>'Required OPGEE data'!C40*(M230+M231)*IF(M241=1,J235,IF(M241=2,J236,IF(M241=3,J237,IF(M241=4,J238,J236))))</f>
        <v>2255868.9564550053</v>
      </c>
      <c r="O245" s="16" t="s">
        <v>188</v>
      </c>
    </row>
    <row r="246" spans="1:19" x14ac:dyDescent="0.2">
      <c r="B246" s="40"/>
      <c r="C246" s="16" t="s">
        <v>602</v>
      </c>
      <c r="M246" s="10">
        <f>'Required OPGEE data'!C40*(M230+M231)*IF(M241=1,M235,IF(M241=2,M236,IF(M241=3,M237,IF(M241=4,M238,M236))))</f>
        <v>0</v>
      </c>
      <c r="O246" s="16" t="s">
        <v>188</v>
      </c>
    </row>
    <row r="247" spans="1:19" x14ac:dyDescent="0.2">
      <c r="B247" s="40"/>
      <c r="C247" s="16" t="s">
        <v>603</v>
      </c>
      <c r="M247" s="10">
        <f>'Required OPGEE data'!C40*(M230+M231)*IF(M241=1,P235,IF(M241=2,P236,IF(M241=3,P237,IF(M241=4,P238,P236))))</f>
        <v>0</v>
      </c>
      <c r="O247" s="16" t="s">
        <v>188</v>
      </c>
    </row>
    <row r="250" spans="1:19" x14ac:dyDescent="0.2">
      <c r="A250" s="16" t="s">
        <v>191</v>
      </c>
      <c r="M250" s="1" t="s">
        <v>2</v>
      </c>
      <c r="N250" s="1" t="s">
        <v>3</v>
      </c>
      <c r="O250" s="16" t="s">
        <v>74</v>
      </c>
    </row>
    <row r="251" spans="1:19" x14ac:dyDescent="0.2">
      <c r="B251" s="16" t="s">
        <v>192</v>
      </c>
      <c r="M251" s="59">
        <v>0</v>
      </c>
      <c r="N251" s="25">
        <v>0</v>
      </c>
      <c r="O251" s="16" t="s">
        <v>161</v>
      </c>
    </row>
    <row r="252" spans="1:19" x14ac:dyDescent="0.2">
      <c r="B252" s="16" t="s">
        <v>193</v>
      </c>
      <c r="M252" s="11">
        <v>2000000</v>
      </c>
      <c r="N252" s="60">
        <v>2000000</v>
      </c>
      <c r="O252" s="16" t="s">
        <v>194</v>
      </c>
      <c r="S252" s="16" t="s">
        <v>195</v>
      </c>
    </row>
    <row r="253" spans="1:19" x14ac:dyDescent="0.2">
      <c r="B253" s="16" t="s">
        <v>196</v>
      </c>
      <c r="M253" s="11">
        <f>'Required OPGEE data'!C9*M252*8.34</f>
        <v>133440000</v>
      </c>
      <c r="N253" s="60">
        <f>'Required OPGEE data'!C9*N252*8.34</f>
        <v>133440000</v>
      </c>
      <c r="O253" s="31" t="s">
        <v>197</v>
      </c>
    </row>
    <row r="254" spans="1:19" x14ac:dyDescent="0.2">
      <c r="B254" s="16" t="s">
        <v>198</v>
      </c>
      <c r="M254" s="61">
        <v>1.1000000000000001</v>
      </c>
      <c r="N254" s="62">
        <v>1.1000000000000001</v>
      </c>
      <c r="O254" s="31" t="s">
        <v>199</v>
      </c>
      <c r="S254" s="16" t="s">
        <v>200</v>
      </c>
    </row>
    <row r="255" spans="1:19" x14ac:dyDescent="0.2">
      <c r="B255" s="16" t="s">
        <v>201</v>
      </c>
      <c r="M255" s="11">
        <f>M252*M254</f>
        <v>2200000</v>
      </c>
      <c r="N255" s="60">
        <f>N252*N254</f>
        <v>2200000</v>
      </c>
      <c r="O255" s="31" t="s">
        <v>202</v>
      </c>
    </row>
    <row r="258" spans="1:60" s="27" customFormat="1" ht="15.75" x14ac:dyDescent="0.25">
      <c r="A258" s="26" t="s">
        <v>203</v>
      </c>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row>
    <row r="260" spans="1:60" x14ac:dyDescent="0.2">
      <c r="A260" s="16" t="s">
        <v>204</v>
      </c>
    </row>
    <row r="261" spans="1:60" x14ac:dyDescent="0.2">
      <c r="B261" s="19" t="s">
        <v>205</v>
      </c>
      <c r="C261" s="19" t="s">
        <v>206</v>
      </c>
      <c r="D261" s="19" t="s">
        <v>207</v>
      </c>
    </row>
    <row r="262" spans="1:60" x14ac:dyDescent="0.2">
      <c r="B262" s="20">
        <v>0.5</v>
      </c>
      <c r="C262" s="20">
        <v>0.85099999999999998</v>
      </c>
      <c r="D262" s="20">
        <v>1.0880000000000001</v>
      </c>
      <c r="E262" s="3" t="s">
        <v>58</v>
      </c>
    </row>
    <row r="263" spans="1:60" x14ac:dyDescent="0.2">
      <c r="B263" s="20">
        <v>0.75</v>
      </c>
      <c r="C263" s="20">
        <v>1.131</v>
      </c>
      <c r="D263" s="20">
        <v>2.4740000000000002</v>
      </c>
      <c r="E263" s="3" t="s">
        <v>208</v>
      </c>
    </row>
    <row r="264" spans="1:60" x14ac:dyDescent="0.2">
      <c r="B264" s="20">
        <v>1</v>
      </c>
      <c r="C264" s="20">
        <v>1.679</v>
      </c>
      <c r="D264" s="20">
        <v>2.1720000000000002</v>
      </c>
      <c r="E264" s="3" t="s">
        <v>209</v>
      </c>
    </row>
    <row r="265" spans="1:60" x14ac:dyDescent="0.2">
      <c r="B265" s="20">
        <v>1.25</v>
      </c>
      <c r="C265" s="20">
        <v>2.2730000000000001</v>
      </c>
      <c r="D265" s="20">
        <v>2.9969999999999999</v>
      </c>
      <c r="E265" s="4" t="s">
        <v>210</v>
      </c>
    </row>
    <row r="266" spans="1:60" s="28" customFormat="1" ht="15.75" x14ac:dyDescent="0.25">
      <c r="A266" s="16"/>
      <c r="B266" s="20">
        <v>2</v>
      </c>
      <c r="C266" s="20">
        <v>3.653</v>
      </c>
      <c r="D266" s="20">
        <v>5.0220000000000002</v>
      </c>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row>
    <row r="267" spans="1:60" x14ac:dyDescent="0.2">
      <c r="B267" s="20">
        <v>2.5</v>
      </c>
      <c r="C267" s="20">
        <v>5.7939999999999996</v>
      </c>
      <c r="D267" s="20">
        <v>7.6619999999999999</v>
      </c>
    </row>
    <row r="268" spans="1:60" x14ac:dyDescent="0.2">
      <c r="B268" s="20">
        <v>3</v>
      </c>
      <c r="C268" s="20">
        <v>7.58</v>
      </c>
      <c r="D268" s="20">
        <v>10.25</v>
      </c>
    </row>
    <row r="269" spans="1:60" x14ac:dyDescent="0.2">
      <c r="B269" s="20">
        <v>3.5</v>
      </c>
      <c r="C269" s="20">
        <v>9.11</v>
      </c>
      <c r="D269" s="20">
        <v>12.51</v>
      </c>
    </row>
    <row r="270" spans="1:60" x14ac:dyDescent="0.2">
      <c r="B270" s="20">
        <v>4</v>
      </c>
      <c r="C270" s="20">
        <v>10.79</v>
      </c>
      <c r="D270" s="20">
        <v>14.99</v>
      </c>
    </row>
    <row r="271" spans="1:60" x14ac:dyDescent="0.2">
      <c r="B271" s="20">
        <v>5</v>
      </c>
      <c r="C271" s="20">
        <v>14.62</v>
      </c>
      <c r="D271" s="20">
        <v>20.78</v>
      </c>
    </row>
    <row r="272" spans="1:60" x14ac:dyDescent="0.2">
      <c r="B272" s="20">
        <v>6</v>
      </c>
      <c r="C272" s="20">
        <v>18.98</v>
      </c>
      <c r="D272" s="20">
        <v>28.58</v>
      </c>
    </row>
    <row r="273" spans="1:15" x14ac:dyDescent="0.2">
      <c r="B273" s="20">
        <v>8</v>
      </c>
      <c r="C273" s="20">
        <v>28.56</v>
      </c>
      <c r="D273" s="20">
        <v>43.4</v>
      </c>
    </row>
    <row r="274" spans="1:15" x14ac:dyDescent="0.2">
      <c r="B274" s="20">
        <v>10</v>
      </c>
      <c r="C274" s="20">
        <v>40.5</v>
      </c>
      <c r="D274" s="20">
        <v>54.7</v>
      </c>
    </row>
    <row r="275" spans="1:15" x14ac:dyDescent="0.2">
      <c r="B275" s="20">
        <v>12</v>
      </c>
      <c r="C275" s="20">
        <v>49.6</v>
      </c>
      <c r="D275" s="20">
        <v>65.400000000000006</v>
      </c>
    </row>
    <row r="276" spans="1:15" x14ac:dyDescent="0.2">
      <c r="B276" s="20">
        <v>14</v>
      </c>
      <c r="C276" s="20">
        <v>54.6</v>
      </c>
      <c r="D276" s="20">
        <v>72.099999999999994</v>
      </c>
    </row>
    <row r="277" spans="1:15" x14ac:dyDescent="0.2">
      <c r="B277" s="20">
        <v>16</v>
      </c>
      <c r="C277" s="20">
        <v>62.6</v>
      </c>
      <c r="D277" s="20">
        <v>82.8</v>
      </c>
    </row>
    <row r="280" spans="1:15" x14ac:dyDescent="0.2">
      <c r="A280" s="16" t="s">
        <v>211</v>
      </c>
      <c r="M280" s="1" t="s">
        <v>2</v>
      </c>
      <c r="N280" s="1" t="s">
        <v>3</v>
      </c>
      <c r="O280" s="16" t="s">
        <v>74</v>
      </c>
    </row>
    <row r="281" spans="1:15" x14ac:dyDescent="0.2">
      <c r="B281" s="16" t="s">
        <v>212</v>
      </c>
      <c r="M281" s="24">
        <v>3</v>
      </c>
      <c r="N281" s="25">
        <v>3</v>
      </c>
      <c r="O281" s="16" t="s">
        <v>213</v>
      </c>
    </row>
    <row r="282" spans="1:15" x14ac:dyDescent="0.2">
      <c r="B282" s="16" t="s">
        <v>214</v>
      </c>
      <c r="M282" s="24">
        <v>1</v>
      </c>
      <c r="N282" s="25">
        <v>1</v>
      </c>
    </row>
    <row r="283" spans="1:15" x14ac:dyDescent="0.2">
      <c r="B283" s="16" t="s">
        <v>215</v>
      </c>
      <c r="M283" s="61">
        <f>VLOOKUP(M281,B262:D277,IF(M282=1,2,IF(M282=2,3,"ERROR")))</f>
        <v>7.58</v>
      </c>
      <c r="N283" s="12">
        <f>VLOOKUP(N281,B262:D277,IF(N282=1,2,IF(N282=2,3,"ERROR")))</f>
        <v>7.58</v>
      </c>
      <c r="O283" s="16" t="s">
        <v>83</v>
      </c>
    </row>
    <row r="284" spans="1:15" x14ac:dyDescent="0.2">
      <c r="B284" s="16" t="s">
        <v>216</v>
      </c>
      <c r="M284" s="24">
        <v>1000</v>
      </c>
      <c r="N284" s="25">
        <v>1000</v>
      </c>
      <c r="O284" s="16" t="s">
        <v>217</v>
      </c>
    </row>
    <row r="285" spans="1:15" x14ac:dyDescent="0.2">
      <c r="B285" s="16" t="s">
        <v>218</v>
      </c>
      <c r="M285" s="11">
        <f>M283*M284*('Required OPGEE data'!C9+'Required OPGEE data'!C10)</f>
        <v>98540</v>
      </c>
      <c r="N285" s="60">
        <f>M283*M284*('Required OPGEE data'!C9+'Required OPGEE data'!C10)</f>
        <v>98540</v>
      </c>
      <c r="O285" s="31" t="s">
        <v>89</v>
      </c>
    </row>
    <row r="288" spans="1:15" x14ac:dyDescent="0.2">
      <c r="A288" s="16" t="s">
        <v>219</v>
      </c>
    </row>
    <row r="289" spans="2:13" x14ac:dyDescent="0.2">
      <c r="B289" s="16" t="s">
        <v>220</v>
      </c>
    </row>
    <row r="290" spans="2:13" ht="38.25" x14ac:dyDescent="0.2">
      <c r="B290" s="19"/>
      <c r="C290" s="19" t="s">
        <v>221</v>
      </c>
      <c r="D290" s="19" t="s">
        <v>222</v>
      </c>
      <c r="E290" s="74" t="s">
        <v>223</v>
      </c>
      <c r="F290" s="76"/>
      <c r="G290" s="76"/>
      <c r="H290" s="76"/>
      <c r="I290" s="75"/>
      <c r="J290" s="19" t="s">
        <v>224</v>
      </c>
      <c r="K290" s="19" t="s">
        <v>225</v>
      </c>
      <c r="L290" s="19" t="s">
        <v>226</v>
      </c>
    </row>
    <row r="291" spans="2:13" x14ac:dyDescent="0.2">
      <c r="B291" s="19" t="s">
        <v>227</v>
      </c>
      <c r="C291" s="19" t="s">
        <v>228</v>
      </c>
      <c r="D291" s="19" t="s">
        <v>229</v>
      </c>
      <c r="E291" s="19">
        <v>600</v>
      </c>
      <c r="F291" s="19">
        <v>800</v>
      </c>
      <c r="G291" s="19">
        <v>1000</v>
      </c>
      <c r="H291" s="19">
        <v>1200</v>
      </c>
      <c r="I291" s="19">
        <v>1440</v>
      </c>
      <c r="J291" s="19" t="s">
        <v>230</v>
      </c>
      <c r="K291" s="19"/>
      <c r="L291" s="19"/>
    </row>
    <row r="292" spans="2:13" x14ac:dyDescent="0.2">
      <c r="B292" s="19"/>
      <c r="C292" s="19"/>
      <c r="D292" s="19" t="s">
        <v>231</v>
      </c>
      <c r="E292" s="19" t="s">
        <v>228</v>
      </c>
      <c r="F292" s="19" t="s">
        <v>228</v>
      </c>
      <c r="G292" s="19" t="s">
        <v>228</v>
      </c>
      <c r="H292" s="19" t="s">
        <v>228</v>
      </c>
      <c r="I292" s="19" t="s">
        <v>228</v>
      </c>
      <c r="J292" s="19"/>
      <c r="K292" s="19"/>
      <c r="L292" s="19"/>
    </row>
    <row r="293" spans="2:13" x14ac:dyDescent="0.2">
      <c r="B293" s="20" t="s">
        <v>232</v>
      </c>
      <c r="C293" s="32">
        <v>720</v>
      </c>
      <c r="D293" s="32">
        <v>780</v>
      </c>
      <c r="E293" s="20">
        <v>11.5</v>
      </c>
      <c r="F293" s="20"/>
      <c r="G293" s="20"/>
      <c r="H293" s="20"/>
      <c r="I293" s="20"/>
      <c r="J293" s="32">
        <v>1692</v>
      </c>
      <c r="K293" s="10" t="str">
        <f t="shared" ref="K293:K308" si="31">IF($M$314=C293,ROUNDUP($M$315/D293,0),"NA")</f>
        <v>NA</v>
      </c>
      <c r="L293" s="10">
        <f t="shared" ref="L293:L308" si="32">IF(K293=MIN($K$293:$K$308),1,0)</f>
        <v>0</v>
      </c>
    </row>
    <row r="294" spans="2:13" x14ac:dyDescent="0.2">
      <c r="B294" s="20" t="s">
        <v>233</v>
      </c>
      <c r="C294" s="32">
        <v>720</v>
      </c>
      <c r="D294" s="32">
        <v>1770</v>
      </c>
      <c r="E294" s="20">
        <v>26.3</v>
      </c>
      <c r="F294" s="20"/>
      <c r="G294" s="20"/>
      <c r="H294" s="20"/>
      <c r="I294" s="20"/>
      <c r="J294" s="32">
        <v>4031</v>
      </c>
      <c r="K294" s="10" t="str">
        <f t="shared" si="31"/>
        <v>NA</v>
      </c>
      <c r="L294" s="10">
        <f t="shared" si="32"/>
        <v>0</v>
      </c>
    </row>
    <row r="295" spans="2:13" x14ac:dyDescent="0.2">
      <c r="B295" s="20" t="s">
        <v>234</v>
      </c>
      <c r="C295" s="32">
        <v>720</v>
      </c>
      <c r="D295" s="32">
        <v>2420</v>
      </c>
      <c r="E295" s="20">
        <v>34.9</v>
      </c>
      <c r="F295" s="20"/>
      <c r="G295" s="20"/>
      <c r="H295" s="20"/>
      <c r="I295" s="20"/>
      <c r="J295" s="32">
        <v>5570</v>
      </c>
      <c r="K295" s="10" t="str">
        <f t="shared" si="31"/>
        <v>NA</v>
      </c>
      <c r="L295" s="10">
        <f t="shared" si="32"/>
        <v>0</v>
      </c>
    </row>
    <row r="296" spans="2:13" x14ac:dyDescent="0.2">
      <c r="B296" s="20" t="s">
        <v>235</v>
      </c>
      <c r="C296" s="32">
        <v>720</v>
      </c>
      <c r="D296" s="32">
        <v>3170</v>
      </c>
      <c r="E296" s="20">
        <v>43.5</v>
      </c>
      <c r="F296" s="20"/>
      <c r="G296" s="20"/>
      <c r="H296" s="20"/>
      <c r="I296" s="20"/>
      <c r="J296" s="32">
        <v>7730</v>
      </c>
      <c r="K296" s="10" t="str">
        <f t="shared" si="31"/>
        <v>NA</v>
      </c>
      <c r="L296" s="10">
        <f t="shared" si="32"/>
        <v>0</v>
      </c>
    </row>
    <row r="297" spans="2:13" x14ac:dyDescent="0.2">
      <c r="B297" s="20" t="s">
        <v>232</v>
      </c>
      <c r="C297" s="32">
        <v>1000</v>
      </c>
      <c r="D297" s="32">
        <v>750</v>
      </c>
      <c r="E297" s="20">
        <v>10.9</v>
      </c>
      <c r="F297" s="20">
        <v>12.5</v>
      </c>
      <c r="G297" s="20">
        <v>14.2</v>
      </c>
      <c r="H297" s="20"/>
      <c r="I297" s="20"/>
      <c r="J297" s="32">
        <v>2485</v>
      </c>
      <c r="K297" s="10">
        <f t="shared" si="31"/>
        <v>11</v>
      </c>
      <c r="L297" s="10">
        <f t="shared" si="32"/>
        <v>0</v>
      </c>
    </row>
    <row r="298" spans="2:13" x14ac:dyDescent="0.2">
      <c r="B298" s="20" t="s">
        <v>233</v>
      </c>
      <c r="C298" s="32">
        <v>1000</v>
      </c>
      <c r="D298" s="32">
        <v>1750</v>
      </c>
      <c r="E298" s="20">
        <v>25.3</v>
      </c>
      <c r="F298" s="20">
        <v>29.2</v>
      </c>
      <c r="G298" s="20">
        <v>33</v>
      </c>
      <c r="H298" s="20"/>
      <c r="I298" s="20"/>
      <c r="J298" s="32">
        <v>5555</v>
      </c>
      <c r="K298" s="10">
        <f t="shared" si="31"/>
        <v>5</v>
      </c>
      <c r="L298" s="10">
        <f t="shared" si="32"/>
        <v>0</v>
      </c>
    </row>
    <row r="299" spans="2:13" x14ac:dyDescent="0.2">
      <c r="B299" s="20" t="s">
        <v>234</v>
      </c>
      <c r="C299" s="32">
        <v>1000</v>
      </c>
      <c r="D299" s="32">
        <v>2420</v>
      </c>
      <c r="E299" s="20">
        <v>33.6</v>
      </c>
      <c r="F299" s="20">
        <v>38.700000000000003</v>
      </c>
      <c r="G299" s="20">
        <v>43.8</v>
      </c>
      <c r="H299" s="20"/>
      <c r="I299" s="20"/>
      <c r="J299" s="32">
        <v>7441</v>
      </c>
      <c r="K299" s="10">
        <f t="shared" si="31"/>
        <v>4</v>
      </c>
      <c r="L299" s="10">
        <f t="shared" si="32"/>
        <v>0</v>
      </c>
    </row>
    <row r="300" spans="2:13" x14ac:dyDescent="0.2">
      <c r="B300" s="20" t="s">
        <v>235</v>
      </c>
      <c r="C300" s="32">
        <v>1000</v>
      </c>
      <c r="D300" s="32">
        <v>3170</v>
      </c>
      <c r="E300" s="20">
        <v>42.1</v>
      </c>
      <c r="F300" s="20">
        <v>48.7</v>
      </c>
      <c r="G300" s="20">
        <v>54.8</v>
      </c>
      <c r="H300" s="20"/>
      <c r="I300" s="20"/>
      <c r="J300" s="32">
        <v>9773</v>
      </c>
      <c r="K300" s="10">
        <f t="shared" si="31"/>
        <v>3</v>
      </c>
      <c r="L300" s="10">
        <f t="shared" si="32"/>
        <v>1</v>
      </c>
      <c r="M300" s="41"/>
    </row>
    <row r="301" spans="2:13" x14ac:dyDescent="0.2">
      <c r="B301" s="20" t="s">
        <v>232</v>
      </c>
      <c r="C301" s="32">
        <v>1200</v>
      </c>
      <c r="D301" s="32">
        <v>740</v>
      </c>
      <c r="E301" s="20">
        <v>10.8</v>
      </c>
      <c r="F301" s="20">
        <v>12.4</v>
      </c>
      <c r="G301" s="20">
        <v>14</v>
      </c>
      <c r="H301" s="20">
        <v>15.4</v>
      </c>
      <c r="I301" s="20"/>
      <c r="J301" s="32">
        <v>2884</v>
      </c>
      <c r="K301" s="10" t="str">
        <f t="shared" si="31"/>
        <v>NA</v>
      </c>
      <c r="L301" s="10">
        <f t="shared" si="32"/>
        <v>0</v>
      </c>
    </row>
    <row r="302" spans="2:13" x14ac:dyDescent="0.2">
      <c r="B302" s="20" t="s">
        <v>233</v>
      </c>
      <c r="C302" s="32">
        <v>1200</v>
      </c>
      <c r="D302" s="32">
        <v>1690</v>
      </c>
      <c r="E302" s="20">
        <v>25.2</v>
      </c>
      <c r="F302" s="20">
        <v>29</v>
      </c>
      <c r="G302" s="20">
        <v>32.799999999999997</v>
      </c>
      <c r="H302" s="20">
        <v>36.1</v>
      </c>
      <c r="I302" s="20"/>
      <c r="J302" s="32">
        <v>6464</v>
      </c>
      <c r="K302" s="10" t="str">
        <f t="shared" si="31"/>
        <v>NA</v>
      </c>
      <c r="L302" s="10">
        <f t="shared" si="32"/>
        <v>0</v>
      </c>
    </row>
    <row r="303" spans="2:13" x14ac:dyDescent="0.2">
      <c r="B303" s="20" t="s">
        <v>234</v>
      </c>
      <c r="C303" s="32">
        <v>1200</v>
      </c>
      <c r="D303" s="32">
        <v>2270</v>
      </c>
      <c r="E303" s="20">
        <v>32.700000000000003</v>
      </c>
      <c r="F303" s="20">
        <v>37.700000000000003</v>
      </c>
      <c r="G303" s="20">
        <v>42.6</v>
      </c>
      <c r="H303" s="20">
        <v>46.8</v>
      </c>
      <c r="I303" s="20"/>
      <c r="J303" s="32">
        <v>9184</v>
      </c>
      <c r="K303" s="10" t="str">
        <f t="shared" si="31"/>
        <v>NA</v>
      </c>
      <c r="L303" s="10">
        <f t="shared" si="32"/>
        <v>0</v>
      </c>
    </row>
    <row r="304" spans="2:13" x14ac:dyDescent="0.2">
      <c r="B304" s="20" t="s">
        <v>235</v>
      </c>
      <c r="C304" s="32">
        <v>1200</v>
      </c>
      <c r="D304" s="32">
        <v>2990</v>
      </c>
      <c r="E304" s="20">
        <v>41.2</v>
      </c>
      <c r="F304" s="20">
        <v>47.5</v>
      </c>
      <c r="G304" s="20">
        <v>53.6</v>
      </c>
      <c r="H304" s="20">
        <v>58.9</v>
      </c>
      <c r="I304" s="20"/>
      <c r="J304" s="32">
        <v>11964</v>
      </c>
      <c r="K304" s="10" t="str">
        <f t="shared" si="31"/>
        <v>NA</v>
      </c>
      <c r="L304" s="10">
        <f t="shared" si="32"/>
        <v>0</v>
      </c>
    </row>
    <row r="305" spans="2:19" x14ac:dyDescent="0.2">
      <c r="B305" s="20" t="s">
        <v>232</v>
      </c>
      <c r="C305" s="32">
        <v>1440</v>
      </c>
      <c r="D305" s="32">
        <v>720</v>
      </c>
      <c r="E305" s="20">
        <v>10.6</v>
      </c>
      <c r="F305" s="20">
        <v>12.1</v>
      </c>
      <c r="G305" s="20">
        <v>13.7</v>
      </c>
      <c r="H305" s="20">
        <v>15.1</v>
      </c>
      <c r="I305" s="20">
        <v>16.399999999999999</v>
      </c>
      <c r="J305" s="32">
        <v>3215</v>
      </c>
      <c r="K305" s="10" t="str">
        <f t="shared" si="31"/>
        <v>NA</v>
      </c>
      <c r="L305" s="10">
        <f t="shared" si="32"/>
        <v>0</v>
      </c>
    </row>
    <row r="306" spans="2:19" x14ac:dyDescent="0.2">
      <c r="B306" s="20" t="s">
        <v>233</v>
      </c>
      <c r="C306" s="32">
        <v>1440</v>
      </c>
      <c r="D306" s="32">
        <v>1630</v>
      </c>
      <c r="E306" s="20">
        <v>23.5</v>
      </c>
      <c r="F306" s="20">
        <v>27.1</v>
      </c>
      <c r="G306" s="20">
        <v>30.6</v>
      </c>
      <c r="H306" s="20">
        <v>33.700000000000003</v>
      </c>
      <c r="I306" s="20">
        <v>34.200000000000003</v>
      </c>
      <c r="J306" s="32">
        <v>7695</v>
      </c>
      <c r="K306" s="10" t="str">
        <f t="shared" si="31"/>
        <v>NA</v>
      </c>
      <c r="L306" s="10">
        <f t="shared" si="32"/>
        <v>0</v>
      </c>
    </row>
    <row r="307" spans="2:19" x14ac:dyDescent="0.2">
      <c r="B307" s="20" t="s">
        <v>234</v>
      </c>
      <c r="C307" s="32">
        <v>1440</v>
      </c>
      <c r="D307" s="32">
        <v>2230</v>
      </c>
      <c r="E307" s="20">
        <v>32.1</v>
      </c>
      <c r="F307" s="20">
        <v>37</v>
      </c>
      <c r="G307" s="20">
        <v>41.7</v>
      </c>
      <c r="H307" s="20">
        <v>45.9</v>
      </c>
      <c r="I307" s="20">
        <v>49.8</v>
      </c>
      <c r="J307" s="32">
        <v>10650</v>
      </c>
      <c r="K307" s="10" t="str">
        <f t="shared" si="31"/>
        <v>NA</v>
      </c>
      <c r="L307" s="10">
        <f t="shared" si="32"/>
        <v>0</v>
      </c>
    </row>
    <row r="308" spans="2:19" x14ac:dyDescent="0.2">
      <c r="B308" s="20" t="s">
        <v>235</v>
      </c>
      <c r="C308" s="32">
        <v>1440</v>
      </c>
      <c r="D308" s="32">
        <v>2910</v>
      </c>
      <c r="E308" s="20">
        <v>40</v>
      </c>
      <c r="F308" s="20">
        <v>46.2</v>
      </c>
      <c r="G308" s="20">
        <v>52.2</v>
      </c>
      <c r="H308" s="20">
        <v>57.2</v>
      </c>
      <c r="I308" s="20">
        <v>62</v>
      </c>
      <c r="J308" s="32">
        <v>14375</v>
      </c>
      <c r="K308" s="10" t="str">
        <f t="shared" si="31"/>
        <v>NA</v>
      </c>
      <c r="L308" s="10">
        <f t="shared" si="32"/>
        <v>0</v>
      </c>
    </row>
    <row r="309" spans="2:19" x14ac:dyDescent="0.2">
      <c r="B309" s="4" t="s">
        <v>236</v>
      </c>
    </row>
    <row r="310" spans="2:19" x14ac:dyDescent="0.2">
      <c r="B310" s="4" t="s">
        <v>237</v>
      </c>
    </row>
    <row r="312" spans="2:19" x14ac:dyDescent="0.2">
      <c r="M312" s="1" t="s">
        <v>2</v>
      </c>
      <c r="N312" s="1" t="s">
        <v>3</v>
      </c>
      <c r="O312" s="16" t="s">
        <v>74</v>
      </c>
      <c r="Q312" s="1" t="s">
        <v>4</v>
      </c>
      <c r="R312" s="1"/>
      <c r="S312" s="1" t="s">
        <v>5</v>
      </c>
    </row>
    <row r="313" spans="2:19" x14ac:dyDescent="0.2">
      <c r="B313" s="16" t="s">
        <v>238</v>
      </c>
      <c r="M313" s="10">
        <f>'Required OPGEE data'!C21</f>
        <v>1000</v>
      </c>
      <c r="N313" s="12">
        <f>'Required OPGEE data'!C24</f>
        <v>350</v>
      </c>
      <c r="O313" s="16" t="s">
        <v>228</v>
      </c>
    </row>
    <row r="314" spans="2:19" x14ac:dyDescent="0.2">
      <c r="B314" s="16" t="s">
        <v>239</v>
      </c>
      <c r="M314" s="10">
        <f>IF(M313&lt;=C293,C293,IF(M313&lt;=C297,C297,IF(M313&lt;=C301,C301,IF(M313&lt;=C305,C305,"ERROR"))))</f>
        <v>1000</v>
      </c>
      <c r="N314" s="12">
        <f>IF(N313&lt;=C293,C293,IF(N313&lt;=C297,C297,IF(N313&lt;=C301,C301,IF(N313&lt;=C305,C305,"ERROR"))))</f>
        <v>720</v>
      </c>
      <c r="O314" s="16" t="s">
        <v>228</v>
      </c>
    </row>
    <row r="315" spans="2:19" x14ac:dyDescent="0.2">
      <c r="B315" s="16" t="s">
        <v>240</v>
      </c>
      <c r="M315" s="10">
        <f>'Required OPGEE data'!C8*(1+'Required OPGEE data'!C22)</f>
        <v>7950</v>
      </c>
      <c r="N315" s="12">
        <f>M315</f>
        <v>7950</v>
      </c>
      <c r="O315" s="16" t="s">
        <v>241</v>
      </c>
    </row>
    <row r="316" spans="2:19" x14ac:dyDescent="0.2">
      <c r="B316" s="16" t="s">
        <v>242</v>
      </c>
      <c r="M316" s="10">
        <f>'Required OPGEE data'!C8*'Required OPGEE data'!C23/1000000</f>
        <v>1.3620000000000001</v>
      </c>
      <c r="N316" s="12">
        <f>M316</f>
        <v>1.3620000000000001</v>
      </c>
      <c r="O316" s="31" t="s">
        <v>243</v>
      </c>
    </row>
    <row r="317" spans="2:19" x14ac:dyDescent="0.2">
      <c r="B317" s="31" t="s">
        <v>244</v>
      </c>
      <c r="M317" s="10">
        <f>IF(M314=E291,SUMPRODUCT(E293:E308,L293:L308),IF(M314=F291,SUMPRODUCT(F293:F308,L293:L308),IF(M314=G291,SUMPRODUCT(G293:G308,L293:L308),IF(M314=H291,SUMPRODUCT(H293:H308,L293:L308),IF(M314=I291,SUMPRODUCT(I293:I308,L293:L308))))))</f>
        <v>54.8</v>
      </c>
      <c r="N317" s="12" t="s">
        <v>76</v>
      </c>
      <c r="O317" s="16" t="s">
        <v>243</v>
      </c>
    </row>
    <row r="318" spans="2:19" x14ac:dyDescent="0.2">
      <c r="B318" s="31" t="s">
        <v>245</v>
      </c>
      <c r="M318" s="10">
        <f>M317*MIN(K293:K308)</f>
        <v>164.39999999999998</v>
      </c>
      <c r="N318" s="12" t="s">
        <v>76</v>
      </c>
      <c r="O318" s="31" t="s">
        <v>243</v>
      </c>
    </row>
    <row r="319" spans="2:19" x14ac:dyDescent="0.2">
      <c r="B319" s="31" t="s">
        <v>246</v>
      </c>
      <c r="M319" s="10" t="str">
        <f>IF(M316&lt;M318,"Yes","ERROR")</f>
        <v>Yes</v>
      </c>
      <c r="N319" s="12" t="s">
        <v>76</v>
      </c>
    </row>
    <row r="320" spans="2:19" x14ac:dyDescent="0.2">
      <c r="B320" s="31" t="s">
        <v>247</v>
      </c>
      <c r="M320" s="10">
        <v>2</v>
      </c>
      <c r="N320" s="12">
        <v>2</v>
      </c>
      <c r="O320" s="16" t="s">
        <v>248</v>
      </c>
    </row>
    <row r="321" spans="1:19" x14ac:dyDescent="0.2">
      <c r="B321" s="31" t="s">
        <v>249</v>
      </c>
      <c r="M321" s="10">
        <f>SUMPRODUCT(L293:L308,K293:K308,J293:J308)*M320</f>
        <v>58638</v>
      </c>
      <c r="N321" s="12">
        <f>SUMPRODUCT(L293:L308,K293:K308,J293:J308)*N320</f>
        <v>58638</v>
      </c>
      <c r="O321" s="16" t="s">
        <v>250</v>
      </c>
    </row>
    <row r="322" spans="1:19" x14ac:dyDescent="0.2">
      <c r="B322" s="34"/>
    </row>
    <row r="323" spans="1:19" x14ac:dyDescent="0.2">
      <c r="B323" s="34"/>
    </row>
    <row r="324" spans="1:19" x14ac:dyDescent="0.2">
      <c r="B324" s="34"/>
    </row>
    <row r="325" spans="1:19" x14ac:dyDescent="0.2">
      <c r="A325" s="16" t="s">
        <v>251</v>
      </c>
      <c r="M325" s="1" t="s">
        <v>2</v>
      </c>
      <c r="N325" s="1" t="s">
        <v>3</v>
      </c>
      <c r="O325" s="16" t="s">
        <v>74</v>
      </c>
    </row>
    <row r="326" spans="1:19" x14ac:dyDescent="0.2">
      <c r="B326" s="16" t="s">
        <v>252</v>
      </c>
      <c r="M326" s="10">
        <f>20*1.5</f>
        <v>30</v>
      </c>
      <c r="N326" s="12">
        <f>20*1.5</f>
        <v>30</v>
      </c>
      <c r="O326" s="16" t="s">
        <v>253</v>
      </c>
      <c r="S326" s="16" t="s">
        <v>254</v>
      </c>
    </row>
    <row r="327" spans="1:19" ht="15.75" x14ac:dyDescent="0.25">
      <c r="B327" s="16" t="s">
        <v>255</v>
      </c>
      <c r="M327" s="10">
        <f>M316</f>
        <v>1.3620000000000001</v>
      </c>
      <c r="N327" s="12">
        <f>N316</f>
        <v>1.3620000000000001</v>
      </c>
      <c r="O327" s="16" t="s">
        <v>256</v>
      </c>
      <c r="S327" s="42" t="s">
        <v>479</v>
      </c>
    </row>
    <row r="328" spans="1:19" x14ac:dyDescent="0.2">
      <c r="B328" s="16" t="s">
        <v>257</v>
      </c>
    </row>
    <row r="329" spans="1:19" x14ac:dyDescent="0.2">
      <c r="B329" s="34"/>
      <c r="C329" s="19"/>
      <c r="D329" s="74" t="s">
        <v>258</v>
      </c>
      <c r="E329" s="76"/>
      <c r="F329" s="76"/>
      <c r="G329" s="75"/>
    </row>
    <row r="330" spans="1:19" x14ac:dyDescent="0.2">
      <c r="B330" s="34"/>
      <c r="C330" s="19"/>
      <c r="D330" s="19">
        <v>0.1</v>
      </c>
      <c r="E330" s="19">
        <v>1</v>
      </c>
      <c r="F330" s="19">
        <v>10</v>
      </c>
      <c r="G330" s="19">
        <v>100</v>
      </c>
      <c r="H330" s="43"/>
      <c r="I330" s="43"/>
    </row>
    <row r="331" spans="1:19" x14ac:dyDescent="0.2">
      <c r="B331" s="34"/>
      <c r="C331" s="44" t="s">
        <v>228</v>
      </c>
      <c r="D331" s="44" t="s">
        <v>259</v>
      </c>
      <c r="E331" s="44" t="s">
        <v>259</v>
      </c>
      <c r="F331" s="44" t="s">
        <v>259</v>
      </c>
      <c r="G331" s="44" t="s">
        <v>259</v>
      </c>
      <c r="I331" s="45"/>
      <c r="J331" s="43"/>
    </row>
    <row r="332" spans="1:19" x14ac:dyDescent="0.2">
      <c r="B332" s="34"/>
      <c r="C332" s="44">
        <v>200</v>
      </c>
      <c r="D332" s="44">
        <v>4</v>
      </c>
      <c r="E332" s="44">
        <v>12</v>
      </c>
      <c r="F332" s="44">
        <v>38</v>
      </c>
      <c r="G332" s="44">
        <v>120</v>
      </c>
      <c r="I332" s="46"/>
    </row>
    <row r="333" spans="1:19" x14ac:dyDescent="0.2">
      <c r="B333" s="34"/>
      <c r="C333" s="44">
        <v>500</v>
      </c>
      <c r="D333" s="44">
        <v>3.5</v>
      </c>
      <c r="E333" s="44">
        <v>9</v>
      </c>
      <c r="F333" s="44">
        <v>30</v>
      </c>
      <c r="G333" s="44">
        <v>95</v>
      </c>
      <c r="H333" s="43"/>
      <c r="I333" s="46"/>
    </row>
    <row r="334" spans="1:19" x14ac:dyDescent="0.2">
      <c r="B334" s="34"/>
      <c r="C334" s="44">
        <v>1000</v>
      </c>
      <c r="D334" s="44">
        <v>3</v>
      </c>
      <c r="E334" s="44">
        <v>8</v>
      </c>
      <c r="F334" s="44">
        <v>26</v>
      </c>
      <c r="G334" s="44">
        <v>80</v>
      </c>
      <c r="H334" s="43"/>
      <c r="I334" s="46"/>
    </row>
    <row r="335" spans="1:19" x14ac:dyDescent="0.2">
      <c r="B335" s="34"/>
      <c r="C335" s="44">
        <v>1500</v>
      </c>
      <c r="D335" s="44">
        <v>2.5</v>
      </c>
      <c r="E335" s="44">
        <v>7</v>
      </c>
      <c r="F335" s="44">
        <v>24</v>
      </c>
      <c r="G335" s="44">
        <v>72</v>
      </c>
      <c r="H335" s="43"/>
      <c r="I335" s="46"/>
    </row>
    <row r="336" spans="1:19" x14ac:dyDescent="0.2">
      <c r="B336" s="34"/>
      <c r="C336" s="5" t="s">
        <v>58</v>
      </c>
    </row>
    <row r="337" spans="2:14" x14ac:dyDescent="0.2">
      <c r="B337" s="34"/>
      <c r="C337" s="5" t="s">
        <v>260</v>
      </c>
    </row>
    <row r="338" spans="2:14" x14ac:dyDescent="0.2">
      <c r="B338" s="34"/>
      <c r="C338" s="5"/>
    </row>
    <row r="339" spans="2:14" x14ac:dyDescent="0.2">
      <c r="B339" s="34"/>
      <c r="C339" s="5"/>
    </row>
    <row r="340" spans="2:14" x14ac:dyDescent="0.2">
      <c r="B340" s="16" t="s">
        <v>261</v>
      </c>
    </row>
    <row r="341" spans="2:14" x14ac:dyDescent="0.2">
      <c r="B341" s="34"/>
    </row>
    <row r="342" spans="2:14" x14ac:dyDescent="0.2">
      <c r="B342" s="34"/>
      <c r="I342" s="46"/>
      <c r="L342" s="46"/>
    </row>
    <row r="343" spans="2:14" x14ac:dyDescent="0.2">
      <c r="B343" s="34"/>
      <c r="I343" s="46"/>
      <c r="L343" s="46"/>
    </row>
    <row r="344" spans="2:14" x14ac:dyDescent="0.2">
      <c r="B344" s="34"/>
      <c r="I344" s="46"/>
      <c r="L344" s="46"/>
    </row>
    <row r="345" spans="2:14" x14ac:dyDescent="0.2">
      <c r="B345" s="34"/>
      <c r="I345" s="46"/>
      <c r="L345" s="46"/>
    </row>
    <row r="346" spans="2:14" x14ac:dyDescent="0.2">
      <c r="B346" s="34"/>
      <c r="E346" s="47"/>
    </row>
    <row r="347" spans="2:14" x14ac:dyDescent="0.2">
      <c r="B347" s="34"/>
    </row>
    <row r="348" spans="2:14" x14ac:dyDescent="0.2">
      <c r="B348" s="34"/>
    </row>
    <row r="349" spans="2:14" x14ac:dyDescent="0.2">
      <c r="B349" s="34"/>
    </row>
    <row r="350" spans="2:14" x14ac:dyDescent="0.2">
      <c r="B350" s="34"/>
      <c r="N350" s="41"/>
    </row>
    <row r="351" spans="2:14" x14ac:dyDescent="0.2">
      <c r="B351" s="34"/>
    </row>
    <row r="352" spans="2:14" x14ac:dyDescent="0.2">
      <c r="B352" s="34"/>
    </row>
    <row r="353" spans="2:19" x14ac:dyDescent="0.2">
      <c r="B353" s="34"/>
    </row>
    <row r="354" spans="2:19" x14ac:dyDescent="0.2">
      <c r="B354" s="34"/>
    </row>
    <row r="355" spans="2:19" x14ac:dyDescent="0.2">
      <c r="B355" s="34"/>
    </row>
    <row r="356" spans="2:19" x14ac:dyDescent="0.2">
      <c r="B356" s="34"/>
    </row>
    <row r="357" spans="2:19" x14ac:dyDescent="0.2">
      <c r="B357" s="34"/>
    </row>
    <row r="358" spans="2:19" x14ac:dyDescent="0.2">
      <c r="B358" s="34"/>
    </row>
    <row r="359" spans="2:19" x14ac:dyDescent="0.2">
      <c r="B359" s="34"/>
    </row>
    <row r="360" spans="2:19" x14ac:dyDescent="0.2">
      <c r="B360" s="34"/>
    </row>
    <row r="361" spans="2:19" x14ac:dyDescent="0.2">
      <c r="B361" s="34"/>
    </row>
    <row r="362" spans="2:19" x14ac:dyDescent="0.2">
      <c r="B362" s="34"/>
    </row>
    <row r="363" spans="2:19" x14ac:dyDescent="0.2">
      <c r="B363" s="34"/>
    </row>
    <row r="364" spans="2:19" x14ac:dyDescent="0.2">
      <c r="B364" s="34"/>
    </row>
    <row r="365" spans="2:19" x14ac:dyDescent="0.2">
      <c r="B365" s="34"/>
    </row>
    <row r="366" spans="2:19" x14ac:dyDescent="0.2">
      <c r="B366" s="34"/>
      <c r="M366" s="1" t="s">
        <v>2</v>
      </c>
      <c r="N366" s="1" t="s">
        <v>3</v>
      </c>
      <c r="O366" s="16" t="s">
        <v>74</v>
      </c>
      <c r="Q366" s="1" t="s">
        <v>4</v>
      </c>
      <c r="R366" s="1"/>
      <c r="S366" s="1" t="s">
        <v>5</v>
      </c>
    </row>
    <row r="367" spans="2:19" x14ac:dyDescent="0.2">
      <c r="B367" s="16" t="s">
        <v>262</v>
      </c>
      <c r="M367" s="10">
        <f>IF('Required OPGEE data'!C24&lt;=C332,"ERROR",IF('Required OPGEE data'!C24&lt;=C333,12.259*M327^0.4992,IF('Required OPGEE data'!C24&lt;=C334,9.933*M327^0.4824,IF('Required OPGEE data'!C24&lt;=C334,8.6115*M327^0.479,IF('Required OPGEE data'!C24&lt;=C335,7.49*M327^0.4913,"ERROR")))))</f>
        <v>14.303300310908377</v>
      </c>
      <c r="O367" s="16" t="s">
        <v>213</v>
      </c>
    </row>
    <row r="368" spans="2:19" x14ac:dyDescent="0.2">
      <c r="B368" s="16" t="s">
        <v>263</v>
      </c>
      <c r="M368" s="48">
        <v>0.5</v>
      </c>
      <c r="O368" s="16" t="s">
        <v>213</v>
      </c>
    </row>
    <row r="369" spans="1:17" ht="18" x14ac:dyDescent="0.2">
      <c r="B369" s="16" t="s">
        <v>264</v>
      </c>
      <c r="M369" s="10">
        <f>PI()*M367/12*M326+2*PI()*(M367/12/2)^2</f>
        <v>114.56952755612573</v>
      </c>
      <c r="O369" s="16" t="s">
        <v>265</v>
      </c>
    </row>
    <row r="370" spans="1:17" x14ac:dyDescent="0.2">
      <c r="B370" s="16" t="s">
        <v>266</v>
      </c>
      <c r="M370" s="10">
        <f>M368/E506*G506*M369</f>
        <v>2337.2183621449649</v>
      </c>
      <c r="O370" s="16" t="s">
        <v>267</v>
      </c>
      <c r="Q370" s="16" t="s">
        <v>268</v>
      </c>
    </row>
    <row r="371" spans="1:17" x14ac:dyDescent="0.2">
      <c r="B371" s="16" t="s">
        <v>269</v>
      </c>
      <c r="M371" s="49">
        <f>M370</f>
        <v>2337.2183621449649</v>
      </c>
      <c r="O371" s="16" t="s">
        <v>267</v>
      </c>
      <c r="Q371" s="16" t="s">
        <v>270</v>
      </c>
    </row>
    <row r="372" spans="1:17" x14ac:dyDescent="0.2">
      <c r="B372" s="16" t="s">
        <v>271</v>
      </c>
      <c r="M372" s="10">
        <f>M370+M371</f>
        <v>4674.4367242899298</v>
      </c>
      <c r="O372" s="16" t="s">
        <v>267</v>
      </c>
      <c r="Q372" s="16" t="s">
        <v>272</v>
      </c>
    </row>
    <row r="373" spans="1:17" x14ac:dyDescent="0.2">
      <c r="B373" s="16" t="s">
        <v>273</v>
      </c>
      <c r="M373" s="49">
        <v>2</v>
      </c>
      <c r="O373" s="16" t="s">
        <v>274</v>
      </c>
    </row>
    <row r="374" spans="1:17" x14ac:dyDescent="0.2">
      <c r="B374" s="16" t="s">
        <v>275</v>
      </c>
      <c r="M374" s="10">
        <f>(M370+M371+M372)*M373</f>
        <v>18697.746897159719</v>
      </c>
      <c r="O374" s="16" t="s">
        <v>276</v>
      </c>
    </row>
    <row r="375" spans="1:17" x14ac:dyDescent="0.2">
      <c r="B375" s="34"/>
    </row>
    <row r="376" spans="1:17" x14ac:dyDescent="0.2">
      <c r="B376" s="34"/>
    </row>
    <row r="377" spans="1:17" x14ac:dyDescent="0.2">
      <c r="A377" s="16" t="s">
        <v>277</v>
      </c>
      <c r="B377" s="31"/>
    </row>
    <row r="378" spans="1:17" x14ac:dyDescent="0.2">
      <c r="B378" s="31" t="s">
        <v>278</v>
      </c>
    </row>
    <row r="379" spans="1:17" ht="25.5" x14ac:dyDescent="0.2">
      <c r="B379" s="19" t="s">
        <v>279</v>
      </c>
      <c r="C379" s="19" t="s">
        <v>280</v>
      </c>
      <c r="D379" s="19" t="s">
        <v>281</v>
      </c>
      <c r="E379" s="19" t="s">
        <v>259</v>
      </c>
      <c r="F379" s="19" t="s">
        <v>282</v>
      </c>
      <c r="G379" s="19" t="s">
        <v>283</v>
      </c>
      <c r="H379" s="19" t="s">
        <v>284</v>
      </c>
    </row>
    <row r="380" spans="1:17" x14ac:dyDescent="0.2">
      <c r="B380" s="32">
        <v>400</v>
      </c>
      <c r="C380" s="44">
        <v>0</v>
      </c>
      <c r="D380" s="44">
        <v>16</v>
      </c>
      <c r="E380" s="10">
        <f t="shared" ref="E380:E385" si="33">D380-H380</f>
        <v>15.6</v>
      </c>
      <c r="F380" s="32">
        <v>15</v>
      </c>
      <c r="G380" s="10">
        <f t="shared" ref="G380:G385" si="34">0.05+0.1+((B380*D380)/(2*(17000*1+B380*0.4)))*(100/(100-12.5))</f>
        <v>0.36312021312021314</v>
      </c>
      <c r="H380" s="10">
        <f t="shared" ref="H380:H391" si="35">ROUNDUP(G380,1)</f>
        <v>0.4</v>
      </c>
      <c r="I380" s="4" t="s">
        <v>29</v>
      </c>
    </row>
    <row r="381" spans="1:17" x14ac:dyDescent="0.2">
      <c r="B381" s="32">
        <v>400</v>
      </c>
      <c r="C381" s="44">
        <v>3.1</v>
      </c>
      <c r="D381" s="44">
        <v>20</v>
      </c>
      <c r="E381" s="10">
        <f t="shared" si="33"/>
        <v>19.5</v>
      </c>
      <c r="F381" s="32">
        <v>15</v>
      </c>
      <c r="G381" s="10">
        <f t="shared" si="34"/>
        <v>0.41640026640026639</v>
      </c>
      <c r="H381" s="10">
        <f t="shared" si="35"/>
        <v>0.5</v>
      </c>
      <c r="I381" s="4" t="s">
        <v>285</v>
      </c>
    </row>
    <row r="382" spans="1:17" x14ac:dyDescent="0.2">
      <c r="B382" s="32">
        <v>400</v>
      </c>
      <c r="C382" s="44">
        <v>4.5999999999999996</v>
      </c>
      <c r="D382" s="44">
        <v>24</v>
      </c>
      <c r="E382" s="10">
        <f t="shared" si="33"/>
        <v>23.5</v>
      </c>
      <c r="F382" s="32">
        <v>15</v>
      </c>
      <c r="G382" s="10">
        <f t="shared" si="34"/>
        <v>0.4696803196803197</v>
      </c>
      <c r="H382" s="10">
        <f t="shared" si="35"/>
        <v>0.5</v>
      </c>
      <c r="I382" s="4" t="s">
        <v>286</v>
      </c>
    </row>
    <row r="383" spans="1:17" x14ac:dyDescent="0.2">
      <c r="B383" s="32">
        <v>400</v>
      </c>
      <c r="C383" s="44">
        <v>6.8</v>
      </c>
      <c r="D383" s="44">
        <v>30</v>
      </c>
      <c r="E383" s="10">
        <f t="shared" si="33"/>
        <v>29.4</v>
      </c>
      <c r="F383" s="32">
        <v>20</v>
      </c>
      <c r="G383" s="10">
        <f t="shared" si="34"/>
        <v>0.54960039960039953</v>
      </c>
      <c r="H383" s="10">
        <f t="shared" si="35"/>
        <v>0.6</v>
      </c>
      <c r="I383" s="4" t="s">
        <v>287</v>
      </c>
    </row>
    <row r="384" spans="1:17" x14ac:dyDescent="0.2">
      <c r="B384" s="32">
        <v>400</v>
      </c>
      <c r="C384" s="44">
        <v>14.3</v>
      </c>
      <c r="D384" s="44">
        <v>36</v>
      </c>
      <c r="E384" s="10">
        <f t="shared" si="33"/>
        <v>35.299999999999997</v>
      </c>
      <c r="F384" s="32">
        <v>20</v>
      </c>
      <c r="G384" s="10">
        <f t="shared" si="34"/>
        <v>0.62952047952047951</v>
      </c>
      <c r="H384" s="10">
        <f t="shared" si="35"/>
        <v>0.7</v>
      </c>
      <c r="I384" s="4" t="s">
        <v>288</v>
      </c>
    </row>
    <row r="385" spans="2:9" x14ac:dyDescent="0.2">
      <c r="B385" s="32">
        <v>400</v>
      </c>
      <c r="C385" s="44">
        <v>16.8</v>
      </c>
      <c r="D385" s="44">
        <v>42</v>
      </c>
      <c r="E385" s="10">
        <f t="shared" si="33"/>
        <v>41.2</v>
      </c>
      <c r="F385" s="32">
        <v>20</v>
      </c>
      <c r="G385" s="10">
        <f t="shared" si="34"/>
        <v>0.7094405594405595</v>
      </c>
      <c r="H385" s="10">
        <f t="shared" si="35"/>
        <v>0.79999999999999993</v>
      </c>
      <c r="I385" s="4" t="s">
        <v>289</v>
      </c>
    </row>
    <row r="386" spans="2:9" x14ac:dyDescent="0.2">
      <c r="B386" s="32">
        <v>400</v>
      </c>
      <c r="C386" s="44">
        <v>23.4</v>
      </c>
      <c r="D386" s="10">
        <f t="shared" ref="D386:D391" si="36">E386+H386</f>
        <v>42.8</v>
      </c>
      <c r="E386" s="44">
        <v>42</v>
      </c>
      <c r="F386" s="32">
        <v>25</v>
      </c>
      <c r="G386" s="10">
        <f t="shared" ref="G386:G391" si="37">0.05+0.1+((B386*E386)/(2*(17000*1+B386*0.4)))*(100/(100-12.5))</f>
        <v>0.7094405594405595</v>
      </c>
      <c r="H386" s="10">
        <f t="shared" si="35"/>
        <v>0.79999999999999993</v>
      </c>
      <c r="I386" s="4" t="s">
        <v>290</v>
      </c>
    </row>
    <row r="387" spans="2:9" x14ac:dyDescent="0.2">
      <c r="B387" s="32">
        <v>400</v>
      </c>
      <c r="C387" s="44">
        <v>25.5</v>
      </c>
      <c r="D387" s="10">
        <f t="shared" si="36"/>
        <v>48.8</v>
      </c>
      <c r="E387" s="44">
        <v>48</v>
      </c>
      <c r="F387" s="32">
        <v>25</v>
      </c>
      <c r="G387" s="10">
        <f t="shared" si="37"/>
        <v>0.78936063936063938</v>
      </c>
      <c r="H387" s="10">
        <f t="shared" si="35"/>
        <v>0.79999999999999993</v>
      </c>
    </row>
    <row r="388" spans="2:9" x14ac:dyDescent="0.2">
      <c r="B388" s="32">
        <v>400</v>
      </c>
      <c r="C388" s="44">
        <v>34.4</v>
      </c>
      <c r="D388" s="10">
        <f t="shared" si="36"/>
        <v>54.9</v>
      </c>
      <c r="E388" s="44">
        <v>54</v>
      </c>
      <c r="F388" s="32">
        <v>25</v>
      </c>
      <c r="G388" s="10">
        <f t="shared" si="37"/>
        <v>0.86928071928071926</v>
      </c>
      <c r="H388" s="10">
        <f t="shared" si="35"/>
        <v>0.9</v>
      </c>
    </row>
    <row r="389" spans="2:9" x14ac:dyDescent="0.2">
      <c r="B389" s="32">
        <v>400</v>
      </c>
      <c r="C389" s="44">
        <v>43.6</v>
      </c>
      <c r="D389" s="10">
        <f t="shared" si="36"/>
        <v>61</v>
      </c>
      <c r="E389" s="44">
        <v>60</v>
      </c>
      <c r="F389" s="32">
        <v>30</v>
      </c>
      <c r="G389" s="10">
        <f t="shared" si="37"/>
        <v>0.94920079920079914</v>
      </c>
      <c r="H389" s="10">
        <f t="shared" si="35"/>
        <v>1</v>
      </c>
    </row>
    <row r="390" spans="2:9" x14ac:dyDescent="0.2">
      <c r="B390" s="32">
        <v>400</v>
      </c>
      <c r="C390" s="44">
        <v>53</v>
      </c>
      <c r="D390" s="10">
        <f t="shared" si="36"/>
        <v>67.099999999999994</v>
      </c>
      <c r="E390" s="44">
        <v>66</v>
      </c>
      <c r="F390" s="32">
        <v>30</v>
      </c>
      <c r="G390" s="10">
        <f t="shared" si="37"/>
        <v>1.029120879120879</v>
      </c>
      <c r="H390" s="10">
        <f t="shared" si="35"/>
        <v>1.1000000000000001</v>
      </c>
    </row>
    <row r="391" spans="2:9" x14ac:dyDescent="0.2">
      <c r="B391" s="32">
        <v>400</v>
      </c>
      <c r="C391" s="44">
        <v>61.1</v>
      </c>
      <c r="D391" s="10">
        <f t="shared" si="36"/>
        <v>73.2</v>
      </c>
      <c r="E391" s="44">
        <v>72</v>
      </c>
      <c r="F391" s="32">
        <v>30</v>
      </c>
      <c r="G391" s="10">
        <f t="shared" si="37"/>
        <v>1.1090409590409589</v>
      </c>
      <c r="H391" s="10">
        <f t="shared" si="35"/>
        <v>1.2000000000000002</v>
      </c>
    </row>
    <row r="392" spans="2:9" x14ac:dyDescent="0.2">
      <c r="B392" s="32">
        <v>400</v>
      </c>
      <c r="C392" s="44">
        <v>77.400000000000006</v>
      </c>
      <c r="D392" s="10" t="s">
        <v>76</v>
      </c>
      <c r="E392" s="44" t="s">
        <v>76</v>
      </c>
      <c r="F392" s="32" t="s">
        <v>76</v>
      </c>
      <c r="G392" s="10" t="s">
        <v>76</v>
      </c>
      <c r="H392" s="10" t="s">
        <v>76</v>
      </c>
    </row>
    <row r="393" spans="2:9" x14ac:dyDescent="0.2">
      <c r="B393" s="32">
        <v>600</v>
      </c>
      <c r="C393" s="44">
        <v>0</v>
      </c>
      <c r="D393" s="44">
        <v>16</v>
      </c>
      <c r="E393" s="10">
        <f t="shared" ref="E393:E398" si="38">D393-H393</f>
        <v>15.5</v>
      </c>
      <c r="F393" s="32">
        <v>15</v>
      </c>
      <c r="G393" s="10">
        <f>0.05+0.1+((B393*D393)/(2*(17000*1+B393*0.4)))*(100/(100-12.5))</f>
        <v>0.46819688432217432</v>
      </c>
      <c r="H393" s="10">
        <f t="shared" ref="H393:H443" si="39">ROUNDUP(G393,1)</f>
        <v>0.5</v>
      </c>
    </row>
    <row r="394" spans="2:9" x14ac:dyDescent="0.2">
      <c r="B394" s="32">
        <v>600</v>
      </c>
      <c r="C394" s="44">
        <v>3.7</v>
      </c>
      <c r="D394" s="44">
        <v>20</v>
      </c>
      <c r="E394" s="10">
        <f t="shared" si="38"/>
        <v>19.399999999999999</v>
      </c>
      <c r="F394" s="32">
        <v>15</v>
      </c>
      <c r="G394" s="10">
        <f t="shared" ref="G394:G398" si="40">0.05+0.1+((B394*D394)/(2*(17000*1+B394*0.4)))*(100/(100-12.5))</f>
        <v>0.54774610540271795</v>
      </c>
      <c r="H394" s="10">
        <f t="shared" si="39"/>
        <v>0.6</v>
      </c>
    </row>
    <row r="395" spans="2:9" x14ac:dyDescent="0.2">
      <c r="B395" s="32">
        <v>600</v>
      </c>
      <c r="C395" s="44">
        <v>5.8</v>
      </c>
      <c r="D395" s="44">
        <v>24</v>
      </c>
      <c r="E395" s="10">
        <f t="shared" si="38"/>
        <v>23.3</v>
      </c>
      <c r="F395" s="32">
        <v>15</v>
      </c>
      <c r="G395" s="10">
        <f t="shared" si="40"/>
        <v>0.62729532648326147</v>
      </c>
      <c r="H395" s="10">
        <f t="shared" si="39"/>
        <v>0.7</v>
      </c>
    </row>
    <row r="396" spans="2:9" x14ac:dyDescent="0.2">
      <c r="B396" s="32">
        <v>600</v>
      </c>
      <c r="C396" s="44">
        <v>8.1999999999999993</v>
      </c>
      <c r="D396" s="44">
        <v>30</v>
      </c>
      <c r="E396" s="10">
        <f t="shared" si="38"/>
        <v>29.2</v>
      </c>
      <c r="F396" s="32">
        <v>20</v>
      </c>
      <c r="G396" s="10">
        <f t="shared" si="40"/>
        <v>0.74661915810407697</v>
      </c>
      <c r="H396" s="10">
        <f t="shared" si="39"/>
        <v>0.79999999999999993</v>
      </c>
    </row>
    <row r="397" spans="2:9" x14ac:dyDescent="0.2">
      <c r="B397" s="32">
        <v>600</v>
      </c>
      <c r="C397" s="44">
        <v>17.5</v>
      </c>
      <c r="D397" s="44">
        <v>36</v>
      </c>
      <c r="E397" s="10">
        <f t="shared" si="38"/>
        <v>35.1</v>
      </c>
      <c r="F397" s="32">
        <v>20</v>
      </c>
      <c r="G397" s="10">
        <f t="shared" si="40"/>
        <v>0.86594298972489214</v>
      </c>
      <c r="H397" s="10">
        <f t="shared" si="39"/>
        <v>0.9</v>
      </c>
    </row>
    <row r="398" spans="2:9" x14ac:dyDescent="0.2">
      <c r="B398" s="32">
        <v>600</v>
      </c>
      <c r="C398" s="44">
        <v>20.6</v>
      </c>
      <c r="D398" s="44">
        <v>42</v>
      </c>
      <c r="E398" s="10">
        <f t="shared" si="38"/>
        <v>41</v>
      </c>
      <c r="F398" s="32">
        <v>20</v>
      </c>
      <c r="G398" s="10">
        <f t="shared" si="40"/>
        <v>0.98526682134570753</v>
      </c>
      <c r="H398" s="10">
        <f t="shared" si="39"/>
        <v>1</v>
      </c>
    </row>
    <row r="399" spans="2:9" x14ac:dyDescent="0.2">
      <c r="B399" s="32">
        <v>600</v>
      </c>
      <c r="C399" s="44">
        <v>28.7</v>
      </c>
      <c r="D399" s="10">
        <f>E399+H399</f>
        <v>43</v>
      </c>
      <c r="E399" s="44">
        <v>42</v>
      </c>
      <c r="F399" s="32">
        <v>25</v>
      </c>
      <c r="G399" s="10">
        <f>0.05+0.1+((B399*E399)/(2*(17000*1+B399*0.4)))*(100/(100-12.5))</f>
        <v>0.98526682134570753</v>
      </c>
      <c r="H399" s="10">
        <f t="shared" si="39"/>
        <v>1</v>
      </c>
    </row>
    <row r="400" spans="2:9" x14ac:dyDescent="0.2">
      <c r="B400" s="32">
        <v>600</v>
      </c>
      <c r="C400" s="44">
        <v>31.2</v>
      </c>
      <c r="D400" s="10">
        <f t="shared" ref="D400:D404" si="41">E400+H400</f>
        <v>49.2</v>
      </c>
      <c r="E400" s="44">
        <v>48</v>
      </c>
      <c r="F400" s="32">
        <v>25</v>
      </c>
      <c r="G400" s="10">
        <f t="shared" ref="G400:G404" si="42">0.05+0.1+((B400*E400)/(2*(17000*1+B400*0.4)))*(100/(100-12.5))</f>
        <v>1.104590652966523</v>
      </c>
      <c r="H400" s="10">
        <f t="shared" si="39"/>
        <v>1.2000000000000002</v>
      </c>
    </row>
    <row r="401" spans="2:8" x14ac:dyDescent="0.2">
      <c r="B401" s="32">
        <v>600</v>
      </c>
      <c r="C401" s="44">
        <v>42.1</v>
      </c>
      <c r="D401" s="10">
        <f t="shared" si="41"/>
        <v>55.3</v>
      </c>
      <c r="E401" s="44">
        <v>54</v>
      </c>
      <c r="F401" s="32">
        <v>25</v>
      </c>
      <c r="G401" s="10">
        <f t="shared" si="42"/>
        <v>1.2239144845873384</v>
      </c>
      <c r="H401" s="10">
        <f t="shared" si="39"/>
        <v>1.3</v>
      </c>
    </row>
    <row r="402" spans="2:8" x14ac:dyDescent="0.2">
      <c r="B402" s="32">
        <v>600</v>
      </c>
      <c r="C402" s="44">
        <v>53.5</v>
      </c>
      <c r="D402" s="10">
        <f t="shared" si="41"/>
        <v>61.4</v>
      </c>
      <c r="E402" s="44">
        <v>60</v>
      </c>
      <c r="F402" s="32">
        <v>30</v>
      </c>
      <c r="G402" s="10">
        <f t="shared" si="42"/>
        <v>1.3432383162081538</v>
      </c>
      <c r="H402" s="10">
        <f t="shared" si="39"/>
        <v>1.4000000000000001</v>
      </c>
    </row>
    <row r="403" spans="2:8" x14ac:dyDescent="0.2">
      <c r="B403" s="32">
        <v>600</v>
      </c>
      <c r="C403" s="44">
        <v>65.3</v>
      </c>
      <c r="D403" s="10">
        <f t="shared" si="41"/>
        <v>67.5</v>
      </c>
      <c r="E403" s="44">
        <v>66</v>
      </c>
      <c r="F403" s="32">
        <v>30</v>
      </c>
      <c r="G403" s="10">
        <f t="shared" si="42"/>
        <v>1.4625621478289692</v>
      </c>
      <c r="H403" s="10">
        <f t="shared" si="39"/>
        <v>1.5</v>
      </c>
    </row>
    <row r="404" spans="2:8" x14ac:dyDescent="0.2">
      <c r="B404" s="32">
        <v>600</v>
      </c>
      <c r="C404" s="44">
        <v>79.5</v>
      </c>
      <c r="D404" s="10">
        <f t="shared" si="41"/>
        <v>73.599999999999994</v>
      </c>
      <c r="E404" s="44">
        <v>72</v>
      </c>
      <c r="F404" s="32">
        <v>30</v>
      </c>
      <c r="G404" s="10">
        <f t="shared" si="42"/>
        <v>1.5818859794497842</v>
      </c>
      <c r="H404" s="10">
        <f t="shared" si="39"/>
        <v>1.6</v>
      </c>
    </row>
    <row r="405" spans="2:8" x14ac:dyDescent="0.2">
      <c r="B405" s="32">
        <v>600</v>
      </c>
      <c r="C405" s="44">
        <v>93.8</v>
      </c>
      <c r="D405" s="10" t="s">
        <v>76</v>
      </c>
      <c r="E405" s="44" t="s">
        <v>76</v>
      </c>
      <c r="F405" s="32" t="s">
        <v>76</v>
      </c>
      <c r="G405" s="10" t="s">
        <v>76</v>
      </c>
      <c r="H405" s="10" t="s">
        <v>76</v>
      </c>
    </row>
    <row r="406" spans="2:8" x14ac:dyDescent="0.2">
      <c r="B406" s="32">
        <v>800</v>
      </c>
      <c r="C406" s="44">
        <v>0</v>
      </c>
      <c r="D406" s="44">
        <v>16</v>
      </c>
      <c r="E406" s="10">
        <f t="shared" ref="E406:E411" si="43">D406-H406</f>
        <v>15.4</v>
      </c>
      <c r="F406" s="32">
        <v>15</v>
      </c>
      <c r="G406" s="10">
        <f>0.05+0.1+((B406*D406)/(2*(17000*1+B406*0.4)))*(100/(100-12.5))</f>
        <v>0.57230287033982186</v>
      </c>
      <c r="H406" s="10">
        <f t="shared" si="39"/>
        <v>0.6</v>
      </c>
    </row>
    <row r="407" spans="2:8" x14ac:dyDescent="0.2">
      <c r="B407" s="32">
        <v>800</v>
      </c>
      <c r="C407" s="44">
        <v>4.0999999999999996</v>
      </c>
      <c r="D407" s="44">
        <v>20</v>
      </c>
      <c r="E407" s="10">
        <f t="shared" si="43"/>
        <v>19.3</v>
      </c>
      <c r="F407" s="32">
        <v>15</v>
      </c>
      <c r="G407" s="10">
        <f t="shared" ref="G407:G411" si="44">0.05+0.1+((B407*D407)/(2*(17000*1+B407*0.4)))*(100/(100-12.5))</f>
        <v>0.67787858792477729</v>
      </c>
      <c r="H407" s="10">
        <f t="shared" si="39"/>
        <v>0.7</v>
      </c>
    </row>
    <row r="408" spans="2:8" x14ac:dyDescent="0.2">
      <c r="B408" s="32">
        <v>800</v>
      </c>
      <c r="C408" s="44">
        <v>6.6</v>
      </c>
      <c r="D408" s="44">
        <v>24</v>
      </c>
      <c r="E408" s="10">
        <f t="shared" si="43"/>
        <v>23.2</v>
      </c>
      <c r="F408" s="32">
        <v>15</v>
      </c>
      <c r="G408" s="10">
        <f t="shared" si="44"/>
        <v>0.78345430550973272</v>
      </c>
      <c r="H408" s="10">
        <f t="shared" si="39"/>
        <v>0.79999999999999993</v>
      </c>
    </row>
    <row r="409" spans="2:8" x14ac:dyDescent="0.2">
      <c r="B409" s="32">
        <v>800</v>
      </c>
      <c r="C409" s="44">
        <v>9.5</v>
      </c>
      <c r="D409" s="44">
        <v>30</v>
      </c>
      <c r="E409" s="10">
        <f t="shared" si="43"/>
        <v>29</v>
      </c>
      <c r="F409" s="32">
        <v>20</v>
      </c>
      <c r="G409" s="10">
        <f t="shared" si="44"/>
        <v>0.94181788188716598</v>
      </c>
      <c r="H409" s="10">
        <f t="shared" si="39"/>
        <v>1</v>
      </c>
    </row>
    <row r="410" spans="2:8" x14ac:dyDescent="0.2">
      <c r="B410" s="32">
        <v>800</v>
      </c>
      <c r="C410" s="44">
        <v>20.6</v>
      </c>
      <c r="D410" s="44">
        <v>36</v>
      </c>
      <c r="E410" s="10">
        <f t="shared" si="43"/>
        <v>34.799999999999997</v>
      </c>
      <c r="F410" s="32">
        <v>20</v>
      </c>
      <c r="G410" s="10">
        <f t="shared" si="44"/>
        <v>1.1001814582645992</v>
      </c>
      <c r="H410" s="10">
        <f t="shared" si="39"/>
        <v>1.2000000000000002</v>
      </c>
    </row>
    <row r="411" spans="2:8" x14ac:dyDescent="0.2">
      <c r="B411" s="32">
        <v>800</v>
      </c>
      <c r="C411" s="44">
        <v>24</v>
      </c>
      <c r="D411" s="44">
        <v>42</v>
      </c>
      <c r="E411" s="10">
        <f t="shared" si="43"/>
        <v>40.700000000000003</v>
      </c>
      <c r="F411" s="32">
        <v>20</v>
      </c>
      <c r="G411" s="10">
        <f t="shared" si="44"/>
        <v>1.2585450346420322</v>
      </c>
      <c r="H411" s="10">
        <f t="shared" si="39"/>
        <v>1.3</v>
      </c>
    </row>
    <row r="412" spans="2:8" x14ac:dyDescent="0.2">
      <c r="B412" s="32">
        <v>800</v>
      </c>
      <c r="C412" s="44">
        <v>33.5</v>
      </c>
      <c r="D412" s="10">
        <f>E412+H412</f>
        <v>43.3</v>
      </c>
      <c r="E412" s="44">
        <v>42</v>
      </c>
      <c r="F412" s="32">
        <v>25</v>
      </c>
      <c r="G412" s="10">
        <f>0.05+0.1+((B412*E412)/(2*(17000*1+B412*0.4)))*(100/(100-12.5))</f>
        <v>1.2585450346420322</v>
      </c>
      <c r="H412" s="10">
        <f t="shared" si="39"/>
        <v>1.3</v>
      </c>
    </row>
    <row r="413" spans="2:8" x14ac:dyDescent="0.2">
      <c r="B413" s="32">
        <v>800</v>
      </c>
      <c r="C413" s="44">
        <v>36.4</v>
      </c>
      <c r="D413" s="10">
        <f t="shared" ref="D413:D417" si="45">E413+H413</f>
        <v>49.5</v>
      </c>
      <c r="E413" s="44">
        <v>48</v>
      </c>
      <c r="F413" s="32">
        <v>25</v>
      </c>
      <c r="G413" s="10">
        <f t="shared" ref="G413:G417" si="46">0.05+0.1+((B413*E413)/(2*(17000*1+B413*0.4)))*(100/(100-12.5))</f>
        <v>1.4169086110194655</v>
      </c>
      <c r="H413" s="10">
        <f t="shared" si="39"/>
        <v>1.5</v>
      </c>
    </row>
    <row r="414" spans="2:8" x14ac:dyDescent="0.2">
      <c r="B414" s="32">
        <v>800</v>
      </c>
      <c r="C414" s="44">
        <v>49.2</v>
      </c>
      <c r="D414" s="10">
        <f t="shared" si="45"/>
        <v>55.6</v>
      </c>
      <c r="E414" s="44">
        <v>54</v>
      </c>
      <c r="F414" s="32">
        <v>25</v>
      </c>
      <c r="G414" s="10">
        <f t="shared" si="46"/>
        <v>1.5752721873968984</v>
      </c>
      <c r="H414" s="10">
        <f t="shared" si="39"/>
        <v>1.6</v>
      </c>
    </row>
    <row r="415" spans="2:8" x14ac:dyDescent="0.2">
      <c r="B415" s="32">
        <v>800</v>
      </c>
      <c r="C415" s="44">
        <v>62.2</v>
      </c>
      <c r="D415" s="10">
        <f t="shared" si="45"/>
        <v>61.8</v>
      </c>
      <c r="E415" s="44">
        <v>60</v>
      </c>
      <c r="F415" s="32">
        <v>30</v>
      </c>
      <c r="G415" s="10">
        <f t="shared" si="46"/>
        <v>1.7336357637743318</v>
      </c>
      <c r="H415" s="10">
        <f t="shared" si="39"/>
        <v>1.8</v>
      </c>
    </row>
    <row r="416" spans="2:8" x14ac:dyDescent="0.2">
      <c r="B416" s="32">
        <v>800</v>
      </c>
      <c r="C416" s="44">
        <v>76</v>
      </c>
      <c r="D416" s="10">
        <f t="shared" si="45"/>
        <v>67.900000000000006</v>
      </c>
      <c r="E416" s="44">
        <v>66</v>
      </c>
      <c r="F416" s="32">
        <v>30</v>
      </c>
      <c r="G416" s="10">
        <f t="shared" si="46"/>
        <v>1.8919993401517652</v>
      </c>
      <c r="H416" s="10">
        <f t="shared" si="39"/>
        <v>1.9000000000000001</v>
      </c>
    </row>
    <row r="417" spans="2:8" x14ac:dyDescent="0.2">
      <c r="B417" s="32">
        <v>800</v>
      </c>
      <c r="C417" s="44">
        <v>93</v>
      </c>
      <c r="D417" s="10">
        <f t="shared" si="45"/>
        <v>74.099999999999994</v>
      </c>
      <c r="E417" s="44">
        <v>72</v>
      </c>
      <c r="F417" s="32">
        <v>30</v>
      </c>
      <c r="G417" s="10">
        <f t="shared" si="46"/>
        <v>2.0503629165291981</v>
      </c>
      <c r="H417" s="10">
        <f t="shared" si="39"/>
        <v>2.1</v>
      </c>
    </row>
    <row r="418" spans="2:8" x14ac:dyDescent="0.2">
      <c r="B418" s="32">
        <v>800</v>
      </c>
      <c r="C418" s="44">
        <v>110.1</v>
      </c>
      <c r="D418" s="10" t="s">
        <v>76</v>
      </c>
      <c r="E418" s="44" t="s">
        <v>76</v>
      </c>
      <c r="F418" s="32" t="s">
        <v>76</v>
      </c>
      <c r="G418" s="10" t="s">
        <v>76</v>
      </c>
      <c r="H418" s="10" t="s">
        <v>76</v>
      </c>
    </row>
    <row r="419" spans="2:8" x14ac:dyDescent="0.2">
      <c r="B419" s="32">
        <v>1000</v>
      </c>
      <c r="C419" s="44">
        <v>0</v>
      </c>
      <c r="D419" s="44">
        <v>16</v>
      </c>
      <c r="E419" s="10">
        <f t="shared" ref="E419:E424" si="47">D419-H419</f>
        <v>15.3</v>
      </c>
      <c r="F419" s="32">
        <v>15</v>
      </c>
      <c r="G419" s="10">
        <f>0.05+0.1+((B419*D419)/(2*(17000*1+B419*0.4)))*(100/(100-12.5))</f>
        <v>0.67545155993431849</v>
      </c>
      <c r="H419" s="10">
        <f t="shared" si="39"/>
        <v>0.7</v>
      </c>
    </row>
    <row r="420" spans="2:8" x14ac:dyDescent="0.2">
      <c r="B420" s="32">
        <v>1000</v>
      </c>
      <c r="C420" s="44">
        <v>4.5999999999999996</v>
      </c>
      <c r="D420" s="44">
        <v>20</v>
      </c>
      <c r="E420" s="10">
        <f t="shared" si="47"/>
        <v>19.100000000000001</v>
      </c>
      <c r="F420" s="32">
        <v>15</v>
      </c>
      <c r="G420" s="10">
        <f t="shared" ref="G420:G424" si="48">0.05+0.1+((B420*D420)/(2*(17000*1+B420*0.4)))*(100/(100-12.5))</f>
        <v>0.80681444991789819</v>
      </c>
      <c r="H420" s="10">
        <f t="shared" si="39"/>
        <v>0.9</v>
      </c>
    </row>
    <row r="421" spans="2:8" x14ac:dyDescent="0.2">
      <c r="B421" s="32">
        <v>1000</v>
      </c>
      <c r="C421" s="44">
        <v>7.2</v>
      </c>
      <c r="D421" s="44">
        <v>24</v>
      </c>
      <c r="E421" s="10">
        <f t="shared" si="47"/>
        <v>23</v>
      </c>
      <c r="F421" s="32">
        <v>15</v>
      </c>
      <c r="G421" s="10">
        <f t="shared" si="48"/>
        <v>0.93817733990147789</v>
      </c>
      <c r="H421" s="10">
        <f t="shared" si="39"/>
        <v>1</v>
      </c>
    </row>
    <row r="422" spans="2:8" x14ac:dyDescent="0.2">
      <c r="B422" s="32">
        <v>1000</v>
      </c>
      <c r="C422" s="44">
        <v>10.4</v>
      </c>
      <c r="D422" s="44">
        <v>30</v>
      </c>
      <c r="E422" s="10">
        <f t="shared" si="47"/>
        <v>28.8</v>
      </c>
      <c r="F422" s="32">
        <v>20</v>
      </c>
      <c r="G422" s="10">
        <f t="shared" si="48"/>
        <v>1.1352216748768473</v>
      </c>
      <c r="H422" s="10">
        <f t="shared" si="39"/>
        <v>1.2000000000000002</v>
      </c>
    </row>
    <row r="423" spans="2:8" x14ac:dyDescent="0.2">
      <c r="B423" s="32">
        <v>1000</v>
      </c>
      <c r="C423" s="44">
        <v>23.2</v>
      </c>
      <c r="D423" s="44">
        <v>36</v>
      </c>
      <c r="E423" s="10">
        <f t="shared" si="47"/>
        <v>34.6</v>
      </c>
      <c r="F423" s="32">
        <v>20</v>
      </c>
      <c r="G423" s="10">
        <f t="shared" si="48"/>
        <v>1.332266009852217</v>
      </c>
      <c r="H423" s="10">
        <f t="shared" si="39"/>
        <v>1.4000000000000001</v>
      </c>
    </row>
    <row r="424" spans="2:8" x14ac:dyDescent="0.2">
      <c r="B424" s="32">
        <v>1000</v>
      </c>
      <c r="C424" s="44">
        <v>26.9</v>
      </c>
      <c r="D424" s="44">
        <v>42</v>
      </c>
      <c r="E424" s="10">
        <f t="shared" si="47"/>
        <v>40.4</v>
      </c>
      <c r="F424" s="32">
        <v>20</v>
      </c>
      <c r="G424" s="10">
        <f t="shared" si="48"/>
        <v>1.5293103448275862</v>
      </c>
      <c r="H424" s="10">
        <f t="shared" si="39"/>
        <v>1.6</v>
      </c>
    </row>
    <row r="425" spans="2:8" x14ac:dyDescent="0.2">
      <c r="B425" s="32">
        <v>1000</v>
      </c>
      <c r="C425" s="44">
        <v>37.700000000000003</v>
      </c>
      <c r="D425" s="10">
        <f>E425+H425</f>
        <v>43.6</v>
      </c>
      <c r="E425" s="44">
        <v>42</v>
      </c>
      <c r="F425" s="32">
        <v>25</v>
      </c>
      <c r="G425" s="10">
        <f>0.05+0.1+((B425*E425)/(2*(17000*1+B425*0.4)))*(100/(100-12.5))</f>
        <v>1.5293103448275862</v>
      </c>
      <c r="H425" s="10">
        <f t="shared" si="39"/>
        <v>1.6</v>
      </c>
    </row>
    <row r="426" spans="2:8" x14ac:dyDescent="0.2">
      <c r="B426" s="32">
        <v>1000</v>
      </c>
      <c r="C426" s="44">
        <v>41</v>
      </c>
      <c r="D426" s="10">
        <f t="shared" ref="D426:D430" si="49">E426+H426</f>
        <v>49.8</v>
      </c>
      <c r="E426" s="44">
        <v>48</v>
      </c>
      <c r="F426" s="32">
        <v>25</v>
      </c>
      <c r="G426" s="10">
        <f t="shared" ref="G426:G430" si="50">0.05+0.1+((B426*E426)/(2*(17000*1+B426*0.4)))*(100/(100-12.5))</f>
        <v>1.7263546798029559</v>
      </c>
      <c r="H426" s="10">
        <f t="shared" si="39"/>
        <v>1.8</v>
      </c>
    </row>
    <row r="427" spans="2:8" x14ac:dyDescent="0.2">
      <c r="B427" s="32">
        <v>1000</v>
      </c>
      <c r="C427" s="44">
        <v>55.4</v>
      </c>
      <c r="D427" s="10">
        <f t="shared" si="49"/>
        <v>56</v>
      </c>
      <c r="E427" s="44">
        <v>54</v>
      </c>
      <c r="F427" s="32">
        <v>25</v>
      </c>
      <c r="G427" s="10">
        <f t="shared" si="50"/>
        <v>1.9233990147783251</v>
      </c>
      <c r="H427" s="10">
        <f t="shared" si="39"/>
        <v>2</v>
      </c>
    </row>
    <row r="428" spans="2:8" x14ac:dyDescent="0.2">
      <c r="B428" s="32">
        <v>1000</v>
      </c>
      <c r="C428" s="44">
        <v>70.099999999999994</v>
      </c>
      <c r="D428" s="10">
        <f t="shared" si="49"/>
        <v>62.2</v>
      </c>
      <c r="E428" s="44">
        <v>60</v>
      </c>
      <c r="F428" s="32">
        <v>30</v>
      </c>
      <c r="G428" s="10">
        <f t="shared" si="50"/>
        <v>2.1204433497536943</v>
      </c>
      <c r="H428" s="10">
        <f t="shared" si="39"/>
        <v>2.2000000000000002</v>
      </c>
    </row>
    <row r="429" spans="2:8" x14ac:dyDescent="0.2">
      <c r="B429" s="32">
        <v>1000</v>
      </c>
      <c r="C429" s="44">
        <v>86.1</v>
      </c>
      <c r="D429" s="10">
        <f t="shared" si="49"/>
        <v>68.400000000000006</v>
      </c>
      <c r="E429" s="44">
        <v>66</v>
      </c>
      <c r="F429" s="32">
        <v>30</v>
      </c>
      <c r="G429" s="10">
        <f t="shared" si="50"/>
        <v>2.317487684729064</v>
      </c>
      <c r="H429" s="10">
        <f t="shared" si="39"/>
        <v>2.4</v>
      </c>
    </row>
    <row r="430" spans="2:8" x14ac:dyDescent="0.2">
      <c r="B430" s="32">
        <v>1000</v>
      </c>
      <c r="C430" s="44">
        <v>98.6</v>
      </c>
      <c r="D430" s="10">
        <f t="shared" si="49"/>
        <v>74.599999999999994</v>
      </c>
      <c r="E430" s="44">
        <v>72</v>
      </c>
      <c r="F430" s="32">
        <v>30</v>
      </c>
      <c r="G430" s="10">
        <f t="shared" si="50"/>
        <v>2.5145320197044336</v>
      </c>
      <c r="H430" s="10">
        <f t="shared" si="39"/>
        <v>2.6</v>
      </c>
    </row>
    <row r="431" spans="2:8" x14ac:dyDescent="0.2">
      <c r="B431" s="32">
        <v>1000</v>
      </c>
      <c r="C431" s="44">
        <v>124.9</v>
      </c>
      <c r="D431" s="10" t="s">
        <v>76</v>
      </c>
      <c r="E431" s="44" t="s">
        <v>76</v>
      </c>
      <c r="F431" s="32" t="s">
        <v>76</v>
      </c>
      <c r="G431" s="10" t="s">
        <v>76</v>
      </c>
      <c r="H431" s="10" t="s">
        <v>76</v>
      </c>
    </row>
    <row r="432" spans="2:8" x14ac:dyDescent="0.2">
      <c r="B432" s="32">
        <v>1200</v>
      </c>
      <c r="C432" s="44">
        <v>0</v>
      </c>
      <c r="D432" s="44">
        <v>16</v>
      </c>
      <c r="E432" s="10">
        <f t="shared" ref="E432:E437" si="51">D432-H432</f>
        <v>15.2</v>
      </c>
      <c r="F432" s="32">
        <v>15</v>
      </c>
      <c r="G432" s="10">
        <f>0.05+0.1+((B432*D432)/(2*(17000*1+B432*0.4)))*(100/(100-12.5))</f>
        <v>0.77765609676364822</v>
      </c>
      <c r="H432" s="10">
        <f t="shared" si="39"/>
        <v>0.79999999999999993</v>
      </c>
    </row>
    <row r="433" spans="2:22" x14ac:dyDescent="0.2">
      <c r="B433" s="32">
        <v>1200</v>
      </c>
      <c r="C433" s="44">
        <v>5</v>
      </c>
      <c r="D433" s="44">
        <v>20</v>
      </c>
      <c r="E433" s="10">
        <f t="shared" si="51"/>
        <v>19</v>
      </c>
      <c r="F433" s="32">
        <v>15</v>
      </c>
      <c r="G433" s="10">
        <f t="shared" ref="G433:G437" si="52">0.05+0.1+((B433*D433)/(2*(17000*1+B433*0.4)))*(100/(100-12.5))</f>
        <v>0.93457012095456027</v>
      </c>
      <c r="H433" s="10">
        <f t="shared" si="39"/>
        <v>1</v>
      </c>
    </row>
    <row r="434" spans="2:22" x14ac:dyDescent="0.2">
      <c r="B434" s="32">
        <v>1200</v>
      </c>
      <c r="C434" s="44">
        <v>7.9</v>
      </c>
      <c r="D434" s="44">
        <v>24</v>
      </c>
      <c r="E434" s="10">
        <f t="shared" si="51"/>
        <v>22.9</v>
      </c>
      <c r="F434" s="32">
        <v>15</v>
      </c>
      <c r="G434" s="10">
        <f t="shared" si="52"/>
        <v>1.0914841451454724</v>
      </c>
      <c r="H434" s="10">
        <f t="shared" si="39"/>
        <v>1.1000000000000001</v>
      </c>
    </row>
    <row r="435" spans="2:22" x14ac:dyDescent="0.2">
      <c r="B435" s="32">
        <v>1200</v>
      </c>
      <c r="C435" s="44">
        <v>11.3</v>
      </c>
      <c r="D435" s="44">
        <v>30</v>
      </c>
      <c r="E435" s="10">
        <f t="shared" si="51"/>
        <v>28.6</v>
      </c>
      <c r="F435" s="32">
        <v>20</v>
      </c>
      <c r="G435" s="10">
        <f t="shared" si="52"/>
        <v>1.3268551814318403</v>
      </c>
      <c r="H435" s="10">
        <f t="shared" si="39"/>
        <v>1.4000000000000001</v>
      </c>
    </row>
    <row r="436" spans="2:22" x14ac:dyDescent="0.2">
      <c r="B436" s="32">
        <v>1200</v>
      </c>
      <c r="C436" s="44">
        <v>25.5</v>
      </c>
      <c r="D436" s="44">
        <v>36</v>
      </c>
      <c r="E436" s="10">
        <f t="shared" si="51"/>
        <v>34.4</v>
      </c>
      <c r="F436" s="32">
        <v>20</v>
      </c>
      <c r="G436" s="10">
        <f t="shared" si="52"/>
        <v>1.5622262177182087</v>
      </c>
      <c r="H436" s="10">
        <f t="shared" si="39"/>
        <v>1.6</v>
      </c>
    </row>
    <row r="437" spans="2:22" x14ac:dyDescent="0.2">
      <c r="B437" s="32">
        <v>1200</v>
      </c>
      <c r="C437" s="44">
        <v>29.9</v>
      </c>
      <c r="D437" s="44">
        <v>42</v>
      </c>
      <c r="E437" s="10">
        <f t="shared" si="51"/>
        <v>40.200000000000003</v>
      </c>
      <c r="F437" s="32">
        <v>20</v>
      </c>
      <c r="G437" s="10">
        <f t="shared" si="52"/>
        <v>1.7975972540045766</v>
      </c>
      <c r="H437" s="10">
        <f t="shared" si="39"/>
        <v>1.8</v>
      </c>
    </row>
    <row r="438" spans="2:22" x14ac:dyDescent="0.2">
      <c r="B438" s="32">
        <v>1200</v>
      </c>
      <c r="C438" s="44">
        <v>42.5</v>
      </c>
      <c r="D438" s="10">
        <f>E438+H438</f>
        <v>43.8</v>
      </c>
      <c r="E438" s="44">
        <v>42</v>
      </c>
      <c r="F438" s="32">
        <v>25</v>
      </c>
      <c r="G438" s="10">
        <f>0.05+0.1+((B438*E438)/(2*(17000*1+B438*0.4)))*(100/(100-12.5))</f>
        <v>1.7975972540045766</v>
      </c>
      <c r="H438" s="10">
        <f t="shared" si="39"/>
        <v>1.8</v>
      </c>
    </row>
    <row r="439" spans="2:22" x14ac:dyDescent="0.2">
      <c r="B439" s="32">
        <v>1200</v>
      </c>
      <c r="C439" s="44">
        <v>45.8</v>
      </c>
      <c r="D439" s="10">
        <f t="shared" ref="D439:D443" si="53">E439+H439</f>
        <v>50.1</v>
      </c>
      <c r="E439" s="44">
        <v>48</v>
      </c>
      <c r="F439" s="32">
        <v>25</v>
      </c>
      <c r="G439" s="10">
        <f t="shared" ref="G439:G443" si="54">0.05+0.1+((B439*E439)/(2*(17000*1+B439*0.4)))*(100/(100-12.5))</f>
        <v>2.0329682902909445</v>
      </c>
      <c r="H439" s="10">
        <f t="shared" si="39"/>
        <v>2.1</v>
      </c>
    </row>
    <row r="440" spans="2:22" x14ac:dyDescent="0.2">
      <c r="B440" s="32">
        <v>1200</v>
      </c>
      <c r="C440" s="44">
        <v>61</v>
      </c>
      <c r="D440" s="10">
        <f t="shared" si="53"/>
        <v>56.3</v>
      </c>
      <c r="E440" s="44">
        <v>54</v>
      </c>
      <c r="F440" s="32">
        <v>25</v>
      </c>
      <c r="G440" s="10">
        <f t="shared" si="54"/>
        <v>2.2683393265773129</v>
      </c>
      <c r="H440" s="10">
        <f t="shared" si="39"/>
        <v>2.3000000000000003</v>
      </c>
    </row>
    <row r="441" spans="2:22" x14ac:dyDescent="0.2">
      <c r="B441" s="32">
        <v>1200</v>
      </c>
      <c r="C441" s="44">
        <v>77.7</v>
      </c>
      <c r="D441" s="10">
        <f t="shared" si="53"/>
        <v>62.6</v>
      </c>
      <c r="E441" s="44">
        <v>60</v>
      </c>
      <c r="F441" s="32">
        <v>30</v>
      </c>
      <c r="G441" s="10">
        <f t="shared" si="54"/>
        <v>2.5037103628636808</v>
      </c>
      <c r="H441" s="10">
        <f t="shared" si="39"/>
        <v>2.6</v>
      </c>
    </row>
    <row r="442" spans="2:22" x14ac:dyDescent="0.2">
      <c r="B442" s="32">
        <v>1200</v>
      </c>
      <c r="C442" s="44">
        <v>96</v>
      </c>
      <c r="D442" s="10">
        <f t="shared" si="53"/>
        <v>68.8</v>
      </c>
      <c r="E442" s="44">
        <v>66</v>
      </c>
      <c r="F442" s="32">
        <v>30</v>
      </c>
      <c r="G442" s="10">
        <f t="shared" si="54"/>
        <v>2.7390813991500487</v>
      </c>
      <c r="H442" s="10">
        <f t="shared" si="39"/>
        <v>2.8000000000000003</v>
      </c>
    </row>
    <row r="443" spans="2:22" x14ac:dyDescent="0.2">
      <c r="B443" s="32">
        <v>1200</v>
      </c>
      <c r="C443" s="44">
        <v>108.4</v>
      </c>
      <c r="D443" s="10">
        <f t="shared" si="53"/>
        <v>75</v>
      </c>
      <c r="E443" s="44">
        <v>72</v>
      </c>
      <c r="F443" s="32">
        <v>30</v>
      </c>
      <c r="G443" s="10">
        <f t="shared" si="54"/>
        <v>2.974452435436417</v>
      </c>
      <c r="H443" s="10">
        <f t="shared" si="39"/>
        <v>3</v>
      </c>
    </row>
    <row r="444" spans="2:22" x14ac:dyDescent="0.2">
      <c r="B444" s="32">
        <v>1200</v>
      </c>
      <c r="C444" s="44">
        <v>137.6</v>
      </c>
      <c r="D444" s="10" t="s">
        <v>76</v>
      </c>
      <c r="E444" s="44" t="s">
        <v>76</v>
      </c>
      <c r="F444" s="32" t="s">
        <v>76</v>
      </c>
      <c r="G444" s="10" t="s">
        <v>76</v>
      </c>
      <c r="H444" s="10" t="s">
        <v>76</v>
      </c>
    </row>
    <row r="446" spans="2:22" x14ac:dyDescent="0.2">
      <c r="B446" s="34"/>
      <c r="M446" s="1" t="s">
        <v>2</v>
      </c>
      <c r="N446" s="1" t="s">
        <v>3</v>
      </c>
      <c r="O446" s="16" t="s">
        <v>74</v>
      </c>
      <c r="Q446" s="1" t="s">
        <v>4</v>
      </c>
      <c r="R446" s="1"/>
      <c r="S446" s="1" t="s">
        <v>5</v>
      </c>
      <c r="T446" s="1"/>
      <c r="U446" s="1"/>
      <c r="V446" s="1" t="s">
        <v>291</v>
      </c>
    </row>
    <row r="447" spans="2:22" ht="15.75" x14ac:dyDescent="0.25">
      <c r="B447" s="16" t="s">
        <v>292</v>
      </c>
      <c r="M447" s="10">
        <f>'Embodied Emissions'!M327</f>
        <v>1.3620000000000001</v>
      </c>
      <c r="N447" s="12">
        <f>N327</f>
        <v>1.3620000000000001</v>
      </c>
      <c r="O447" s="16" t="s">
        <v>256</v>
      </c>
      <c r="S447" s="42" t="s">
        <v>479</v>
      </c>
      <c r="V447" s="16" t="s">
        <v>293</v>
      </c>
    </row>
    <row r="448" spans="2:22" x14ac:dyDescent="0.2">
      <c r="B448" s="16" t="s">
        <v>294</v>
      </c>
      <c r="M448" s="10">
        <f>'Required OPGEE data'!C24</f>
        <v>350</v>
      </c>
      <c r="N448" s="12">
        <f>'Required OPGEE data'!C24</f>
        <v>350</v>
      </c>
      <c r="O448" s="16" t="s">
        <v>228</v>
      </c>
      <c r="V448" s="16" t="s">
        <v>295</v>
      </c>
    </row>
    <row r="449" spans="2:19" x14ac:dyDescent="0.2">
      <c r="B449" s="16" t="s">
        <v>296</v>
      </c>
      <c r="M449" s="10">
        <f>IF(M448&lt;=B380,VLOOKUP(M447,C380:H392,2,TRUE),IF(M448&lt;=B393,VLOOKUP(M447,C393:H405,2,TRUE),IF(M448&lt;=B406,VLOOKUP(M447,C406:H418,2,TRUE),IF(M448&lt;=B419,VLOOKUP(M447,C419:H431,2,TRUE),IF(M448&lt;=B432,VLOOKUP(M447,C432:H444,2,TRUE),"ERROR: Gas pressure too high")))))</f>
        <v>16</v>
      </c>
      <c r="N449" s="12">
        <f>IF(N448&lt;=B380,VLOOKUP(N447,C380:H392,2,TRUE),IF(N448&lt;=B393,VLOOKUP(N447,C393:H405,2,TRUE),IF(N448&lt;=B406,VLOOKUP(N447,C406:H418,2,TRUE),IF(N448&lt;=B419,VLOOKUP(N447,C419:H431,2,TRUE),IF(N448&lt;=B432,VLOOKUP(N447,C432:H444,2,TRUE),"ERROR: Gas pressure too high")))))</f>
        <v>16</v>
      </c>
      <c r="O449" s="31" t="s">
        <v>213</v>
      </c>
    </row>
    <row r="450" spans="2:19" x14ac:dyDescent="0.2">
      <c r="B450" s="16" t="s">
        <v>297</v>
      </c>
      <c r="M450" s="10">
        <f>IF(M448&lt;=B380,VLOOKUP(M447,C380:H392,3,TRUE),IF(M448&lt;=B393,VLOOKUP(M447,C393:H405,3,TRUE),IF(M448&lt;=B406,VLOOKUP(M447,C406:H418,3,TRUE),IF(M448&lt;=B419,VLOOKUP(M447,C419:H431,3,TRUE),IF(M448&lt;=B432,VLOOKUP(M447,C432:H444,3,TRUE),"ERROR: Gas pressure too high")))))</f>
        <v>15.6</v>
      </c>
      <c r="N450" s="12">
        <f>IF(N448&lt;=B380,VLOOKUP(N447,C380:H392,3,TRUE),IF(N448&lt;=B393,VLOOKUP(N447,C393:H405,3,TRUE),IF(N448&lt;=B406,VLOOKUP(N447,C406:H418,3,TRUE),IF(N448&lt;=B419,VLOOKUP(N447,C419:H431,3,TRUE),IF(N448&lt;=B432,VLOOKUP(N447,C432:H444,3,TRUE),"ERROR: Gas pressure too high")))))</f>
        <v>15.6</v>
      </c>
      <c r="O450" s="31" t="s">
        <v>213</v>
      </c>
    </row>
    <row r="451" spans="2:19" x14ac:dyDescent="0.2">
      <c r="B451" s="16" t="s">
        <v>298</v>
      </c>
      <c r="M451" s="10">
        <f>IF(M448&lt;=B380,VLOOKUP(M447,C380:H392,4,TRUE),IF(M448&lt;=B393,VLOOKUP(M447,C393:H405,4,TRUE),IF(M448&lt;=B406,VLOOKUP(M447,C406:H418,4,TRUE),IF(M448&lt;=B419,VLOOKUP(M447,C419:H431,4,TRUE),IF(M448&lt;=B432,VLOOKUP(M447,C432:H444,4,TRUE),"ERROR: Gas pressure too high")))))</f>
        <v>15</v>
      </c>
      <c r="N451" s="12">
        <f>IF(N448&lt;=B380,VLOOKUP(N447,C380:H392,4,TRUE),IF(N448&lt;=B393,VLOOKUP(N447,C393:H405,4,TRUE),IF(N448&lt;=B406,VLOOKUP(N447,C406:H418,4,TRUE),IF(N448&lt;=B419,VLOOKUP(N447,C419:H431,4,TRUE),IF(N448&lt;=B432,VLOOKUP(N447,C432:H444,4,TRUE),"ERROR: Gas pressure too high")))))</f>
        <v>15</v>
      </c>
      <c r="O451" s="31" t="s">
        <v>253</v>
      </c>
    </row>
    <row r="452" spans="2:19" ht="18" x14ac:dyDescent="0.2">
      <c r="B452" s="16" t="s">
        <v>299</v>
      </c>
      <c r="M452" s="10">
        <f>((M449/2)^2-(M450/2)^2)*M451*12</f>
        <v>568.80000000000064</v>
      </c>
      <c r="N452" s="12">
        <f>((N449/2)^2-(N450/2)^2)*N451*12</f>
        <v>568.80000000000064</v>
      </c>
      <c r="O452" s="31" t="s">
        <v>300</v>
      </c>
    </row>
    <row r="453" spans="2:19" ht="18" x14ac:dyDescent="0.2">
      <c r="B453" s="16" t="s">
        <v>301</v>
      </c>
      <c r="M453" s="10">
        <f>M452</f>
        <v>568.80000000000064</v>
      </c>
      <c r="N453" s="12">
        <f>N452</f>
        <v>568.80000000000064</v>
      </c>
      <c r="O453" s="31" t="s">
        <v>300</v>
      </c>
      <c r="S453" s="16" t="s">
        <v>302</v>
      </c>
    </row>
    <row r="454" spans="2:19" x14ac:dyDescent="0.2">
      <c r="B454" s="16" t="s">
        <v>303</v>
      </c>
      <c r="M454" s="10">
        <v>2</v>
      </c>
      <c r="N454" s="12">
        <v>2</v>
      </c>
      <c r="O454" s="31" t="s">
        <v>274</v>
      </c>
      <c r="S454" s="16" t="s">
        <v>304</v>
      </c>
    </row>
    <row r="455" spans="2:19" x14ac:dyDescent="0.2">
      <c r="B455" s="16" t="s">
        <v>305</v>
      </c>
      <c r="M455" s="10">
        <f>(M452+M453)*M23*M454</f>
        <v>682.56000000000074</v>
      </c>
      <c r="N455" s="12">
        <f>(N452+N453)*N23*N454</f>
        <v>682.56000000000074</v>
      </c>
      <c r="O455" s="31" t="s">
        <v>267</v>
      </c>
    </row>
    <row r="456" spans="2:19" x14ac:dyDescent="0.2">
      <c r="B456" s="34"/>
    </row>
    <row r="457" spans="2:19" x14ac:dyDescent="0.2">
      <c r="B457" s="34"/>
    </row>
    <row r="458" spans="2:19" x14ac:dyDescent="0.2">
      <c r="B458" s="16" t="s">
        <v>306</v>
      </c>
    </row>
    <row r="459" spans="2:19" ht="25.5" x14ac:dyDescent="0.2">
      <c r="B459" s="19" t="s">
        <v>307</v>
      </c>
      <c r="C459" s="19" t="s">
        <v>308</v>
      </c>
      <c r="D459" s="19" t="s">
        <v>309</v>
      </c>
      <c r="E459" s="19" t="s">
        <v>310</v>
      </c>
      <c r="F459" s="19" t="s">
        <v>311</v>
      </c>
      <c r="G459" s="19" t="s">
        <v>312</v>
      </c>
      <c r="H459" s="19" t="s">
        <v>313</v>
      </c>
      <c r="I459" s="19" t="s">
        <v>314</v>
      </c>
    </row>
    <row r="460" spans="2:19" x14ac:dyDescent="0.2">
      <c r="B460" s="32">
        <v>0</v>
      </c>
      <c r="C460" s="32">
        <v>125</v>
      </c>
      <c r="D460" s="32">
        <v>20</v>
      </c>
      <c r="E460" s="32">
        <f>D460-I460</f>
        <v>19.100000000000001</v>
      </c>
      <c r="F460" s="32">
        <v>6</v>
      </c>
      <c r="G460" s="32">
        <v>3</v>
      </c>
      <c r="H460" s="32">
        <v>10</v>
      </c>
      <c r="I460" s="10">
        <f t="shared" ref="I460:I468" si="55">ROUNDUP((0.05+0.1+((1000*D460)/(2*(17000*1+1000*0.4)))*(100/(100-12.5))),1)</f>
        <v>0.9</v>
      </c>
      <c r="J460" s="4" t="s">
        <v>58</v>
      </c>
    </row>
    <row r="461" spans="2:19" x14ac:dyDescent="0.2">
      <c r="B461" s="32">
        <v>40</v>
      </c>
      <c r="C461" s="32">
        <v>200</v>
      </c>
      <c r="D461" s="32">
        <v>20</v>
      </c>
      <c r="E461" s="32">
        <f t="shared" ref="E461:E468" si="56">D461-I461</f>
        <v>19.100000000000001</v>
      </c>
      <c r="F461" s="32">
        <v>9</v>
      </c>
      <c r="G461" s="32">
        <v>3</v>
      </c>
      <c r="H461" s="32">
        <v>14</v>
      </c>
      <c r="I461" s="10">
        <f t="shared" si="55"/>
        <v>0.9</v>
      </c>
      <c r="J461" s="4" t="s">
        <v>315</v>
      </c>
    </row>
    <row r="462" spans="2:19" x14ac:dyDescent="0.2">
      <c r="B462" s="32">
        <v>90</v>
      </c>
      <c r="C462" s="32">
        <v>300</v>
      </c>
      <c r="D462" s="32">
        <v>24</v>
      </c>
      <c r="E462" s="32">
        <f t="shared" si="56"/>
        <v>23</v>
      </c>
      <c r="F462" s="32">
        <v>10</v>
      </c>
      <c r="G462" s="32">
        <v>5</v>
      </c>
      <c r="H462" s="32">
        <v>19</v>
      </c>
      <c r="I462" s="10">
        <f t="shared" si="55"/>
        <v>1</v>
      </c>
      <c r="J462" s="4" t="s">
        <v>316</v>
      </c>
    </row>
    <row r="463" spans="2:19" x14ac:dyDescent="0.2">
      <c r="B463" s="32">
        <v>180</v>
      </c>
      <c r="C463" s="32">
        <v>500</v>
      </c>
      <c r="D463" s="32">
        <v>36</v>
      </c>
      <c r="E463" s="32">
        <f t="shared" si="56"/>
        <v>34.6</v>
      </c>
      <c r="F463" s="32">
        <v>10</v>
      </c>
      <c r="G463" s="32">
        <v>5</v>
      </c>
      <c r="H463" s="32">
        <v>19</v>
      </c>
      <c r="I463" s="10">
        <f t="shared" si="55"/>
        <v>1.4000000000000001</v>
      </c>
      <c r="J463" s="4" t="s">
        <v>317</v>
      </c>
    </row>
    <row r="464" spans="2:19" x14ac:dyDescent="0.2">
      <c r="B464" s="32">
        <v>250</v>
      </c>
      <c r="C464" s="32">
        <v>750</v>
      </c>
      <c r="D464" s="32">
        <v>36</v>
      </c>
      <c r="E464" s="32">
        <f t="shared" si="56"/>
        <v>34.6</v>
      </c>
      <c r="F464" s="32">
        <v>15</v>
      </c>
      <c r="G464" s="32">
        <v>6</v>
      </c>
      <c r="H464" s="32">
        <v>28</v>
      </c>
      <c r="I464" s="10">
        <f t="shared" si="55"/>
        <v>1.4000000000000001</v>
      </c>
      <c r="J464" s="4" t="s">
        <v>289</v>
      </c>
    </row>
    <row r="465" spans="2:22" x14ac:dyDescent="0.2">
      <c r="B465" s="32">
        <v>400</v>
      </c>
      <c r="C465" s="32">
        <v>1000</v>
      </c>
      <c r="D465" s="32">
        <v>42</v>
      </c>
      <c r="E465" s="32">
        <f t="shared" si="56"/>
        <v>40.4</v>
      </c>
      <c r="F465" s="32">
        <v>17</v>
      </c>
      <c r="G465" s="32">
        <v>6.4</v>
      </c>
      <c r="H465" s="32">
        <v>29</v>
      </c>
      <c r="I465" s="10">
        <f t="shared" si="55"/>
        <v>1.6</v>
      </c>
    </row>
    <row r="466" spans="2:22" x14ac:dyDescent="0.2">
      <c r="B466" s="32">
        <v>500</v>
      </c>
      <c r="C466" s="32">
        <v>1500</v>
      </c>
      <c r="D466" s="32">
        <v>48</v>
      </c>
      <c r="E466" s="32">
        <f t="shared" si="56"/>
        <v>46.2</v>
      </c>
      <c r="F466" s="32">
        <v>22.5</v>
      </c>
      <c r="G466" s="32">
        <v>10.5</v>
      </c>
      <c r="H466" s="32">
        <v>30</v>
      </c>
      <c r="I466" s="10">
        <f t="shared" si="55"/>
        <v>1.8</v>
      </c>
    </row>
    <row r="467" spans="2:22" x14ac:dyDescent="0.2">
      <c r="B467" s="32">
        <v>900</v>
      </c>
      <c r="C467" s="32">
        <v>2000</v>
      </c>
      <c r="D467" s="32">
        <v>60</v>
      </c>
      <c r="E467" s="32">
        <f t="shared" si="56"/>
        <v>57.8</v>
      </c>
      <c r="F467" s="32">
        <v>28</v>
      </c>
      <c r="G467" s="32">
        <v>12</v>
      </c>
      <c r="H467" s="32">
        <v>38.5</v>
      </c>
      <c r="I467" s="10">
        <f t="shared" si="55"/>
        <v>2.2000000000000002</v>
      </c>
    </row>
    <row r="468" spans="2:22" x14ac:dyDescent="0.2">
      <c r="B468" s="32">
        <v>1440</v>
      </c>
      <c r="C468" s="32">
        <v>2500</v>
      </c>
      <c r="D468" s="32">
        <v>60</v>
      </c>
      <c r="E468" s="32">
        <f t="shared" si="56"/>
        <v>57.8</v>
      </c>
      <c r="F468" s="32">
        <v>35.25</v>
      </c>
      <c r="G468" s="32">
        <v>12</v>
      </c>
      <c r="H468" s="32">
        <v>40</v>
      </c>
      <c r="I468" s="10">
        <f t="shared" si="55"/>
        <v>2.2000000000000002</v>
      </c>
    </row>
    <row r="469" spans="2:22" x14ac:dyDescent="0.2">
      <c r="B469" s="32">
        <v>1780</v>
      </c>
      <c r="C469" s="32" t="s">
        <v>76</v>
      </c>
      <c r="D469" s="32" t="s">
        <v>76</v>
      </c>
      <c r="E469" s="32" t="s">
        <v>76</v>
      </c>
      <c r="F469" s="32" t="s">
        <v>76</v>
      </c>
      <c r="G469" s="32" t="s">
        <v>76</v>
      </c>
      <c r="H469" s="32" t="s">
        <v>76</v>
      </c>
      <c r="I469" s="32" t="s">
        <v>76</v>
      </c>
    </row>
    <row r="471" spans="2:22" x14ac:dyDescent="0.2">
      <c r="B471" s="34"/>
      <c r="M471" s="1" t="s">
        <v>2</v>
      </c>
      <c r="N471" s="1" t="s">
        <v>3</v>
      </c>
      <c r="O471" s="16" t="s">
        <v>74</v>
      </c>
      <c r="Q471" s="1" t="s">
        <v>4</v>
      </c>
      <c r="R471" s="1"/>
      <c r="S471" s="1" t="s">
        <v>5</v>
      </c>
      <c r="T471" s="1"/>
      <c r="U471" s="1"/>
      <c r="V471" s="1" t="s">
        <v>291</v>
      </c>
    </row>
    <row r="472" spans="2:22" x14ac:dyDescent="0.2">
      <c r="B472" s="16" t="s">
        <v>318</v>
      </c>
      <c r="M472" s="10">
        <f>'Required OPGEE data'!C25/24</f>
        <v>4.0874999999999995</v>
      </c>
      <c r="N472" s="12">
        <f>'Required OPGEE data'!C25/24</f>
        <v>4.0874999999999995</v>
      </c>
      <c r="O472" s="16" t="s">
        <v>319</v>
      </c>
    </row>
    <row r="473" spans="2:22" x14ac:dyDescent="0.2">
      <c r="B473" s="16" t="s">
        <v>320</v>
      </c>
      <c r="M473" s="10">
        <f>VLOOKUP(M472,B460:I469,3,TRUE)</f>
        <v>20</v>
      </c>
      <c r="N473" s="12">
        <f>VLOOKUP(N472,B460:I469,3,TRUE)</f>
        <v>20</v>
      </c>
      <c r="O473" s="16" t="s">
        <v>213</v>
      </c>
    </row>
    <row r="474" spans="2:22" x14ac:dyDescent="0.2">
      <c r="B474" s="16" t="s">
        <v>321</v>
      </c>
      <c r="M474" s="10">
        <f>VLOOKUP(M472,B460:I469,4,TRUE)</f>
        <v>19.100000000000001</v>
      </c>
      <c r="N474" s="12">
        <f>VLOOKUP(N472,B460:I469,4,TRUE)</f>
        <v>19.100000000000001</v>
      </c>
      <c r="O474" s="31" t="s">
        <v>213</v>
      </c>
    </row>
    <row r="475" spans="2:22" x14ac:dyDescent="0.2">
      <c r="B475" s="16" t="s">
        <v>322</v>
      </c>
      <c r="M475" s="10">
        <f>VLOOKUP(M472,B460:I469,5,TRUE)</f>
        <v>6</v>
      </c>
      <c r="N475" s="12">
        <f>VLOOKUP(N472,B460:I469,5,TRUE)</f>
        <v>6</v>
      </c>
      <c r="O475" s="31" t="s">
        <v>253</v>
      </c>
    </row>
    <row r="476" spans="2:22" ht="18" x14ac:dyDescent="0.2">
      <c r="B476" s="16" t="s">
        <v>323</v>
      </c>
      <c r="M476" s="10">
        <f>((M473/2)^2-(M474/2)^2)*M475*12</f>
        <v>633.41999999999894</v>
      </c>
      <c r="N476" s="12">
        <f>((N473/2)^2-(N474/2)^2)*N475*12</f>
        <v>633.41999999999894</v>
      </c>
      <c r="O476" s="31" t="s">
        <v>300</v>
      </c>
    </row>
    <row r="477" spans="2:22" ht="18" x14ac:dyDescent="0.2">
      <c r="B477" s="16" t="s">
        <v>324</v>
      </c>
      <c r="M477" s="49">
        <f>M476*1</f>
        <v>633.41999999999894</v>
      </c>
      <c r="N477" s="50">
        <f>N476*1</f>
        <v>633.41999999999894</v>
      </c>
      <c r="O477" s="31" t="s">
        <v>300</v>
      </c>
    </row>
    <row r="478" spans="2:22" x14ac:dyDescent="0.2">
      <c r="B478" s="16" t="s">
        <v>325</v>
      </c>
      <c r="M478" s="49">
        <v>2</v>
      </c>
      <c r="N478" s="50">
        <v>2</v>
      </c>
      <c r="O478" s="31" t="s">
        <v>274</v>
      </c>
    </row>
    <row r="479" spans="2:22" x14ac:dyDescent="0.2">
      <c r="B479" s="16" t="s">
        <v>326</v>
      </c>
      <c r="M479" s="10">
        <f>(M476+M477)*M23*M478</f>
        <v>760.10399999999868</v>
      </c>
      <c r="N479" s="12">
        <f>(N476+N477)*N23*N478</f>
        <v>760.10399999999868</v>
      </c>
      <c r="O479" s="31" t="s">
        <v>267</v>
      </c>
    </row>
    <row r="480" spans="2:22" x14ac:dyDescent="0.2">
      <c r="B480" s="34"/>
      <c r="M480" s="6"/>
    </row>
    <row r="481" spans="1:22" x14ac:dyDescent="0.2">
      <c r="B481" s="34"/>
      <c r="M481" s="6"/>
    </row>
    <row r="482" spans="1:22" x14ac:dyDescent="0.2">
      <c r="A482" s="16" t="s">
        <v>327</v>
      </c>
      <c r="B482" s="34"/>
      <c r="M482" s="1" t="s">
        <v>2</v>
      </c>
      <c r="N482" s="1" t="s">
        <v>3</v>
      </c>
      <c r="O482" s="16" t="s">
        <v>74</v>
      </c>
      <c r="Q482" s="1" t="s">
        <v>4</v>
      </c>
      <c r="R482" s="1"/>
      <c r="S482" s="1" t="s">
        <v>5</v>
      </c>
      <c r="T482" s="1"/>
      <c r="U482" s="1"/>
      <c r="V482" s="1" t="s">
        <v>291</v>
      </c>
    </row>
    <row r="483" spans="1:22" x14ac:dyDescent="0.2">
      <c r="B483" s="16" t="s">
        <v>328</v>
      </c>
      <c r="M483" s="10">
        <f>'Required OPGEE data'!C26+'Required OPGEE data'!C27</f>
        <v>230</v>
      </c>
      <c r="N483" s="12">
        <f>'Required OPGEE data'!C26+'Required OPGEE data'!C27</f>
        <v>230</v>
      </c>
      <c r="O483" s="16" t="s">
        <v>329</v>
      </c>
    </row>
    <row r="484" spans="1:22" x14ac:dyDescent="0.2">
      <c r="B484" s="16" t="s">
        <v>330</v>
      </c>
      <c r="M484" s="10">
        <f>'Required OPGEE data'!C28</f>
        <v>0.91500000000000004</v>
      </c>
      <c r="N484" s="12">
        <f>'Required OPGEE data'!C28</f>
        <v>0.91500000000000004</v>
      </c>
      <c r="O484" s="16" t="s">
        <v>243</v>
      </c>
    </row>
    <row r="485" spans="1:22" x14ac:dyDescent="0.2">
      <c r="B485" s="16" t="s">
        <v>331</v>
      </c>
      <c r="M485" s="10">
        <f>IF(M484=0,0,(13423+1255.9*M484))</f>
        <v>14572.148499999999</v>
      </c>
      <c r="N485" s="12">
        <f>IF(N484=0,0,(13423+1255.9*N484))</f>
        <v>14572.148499999999</v>
      </c>
      <c r="O485" s="16" t="s">
        <v>77</v>
      </c>
      <c r="Q485" s="7"/>
      <c r="S485" s="16" t="s">
        <v>528</v>
      </c>
    </row>
    <row r="486" spans="1:22" x14ac:dyDescent="0.2">
      <c r="B486" s="16" t="s">
        <v>332</v>
      </c>
      <c r="M486" s="49">
        <v>2</v>
      </c>
      <c r="N486" s="50">
        <v>2</v>
      </c>
      <c r="O486" s="31" t="s">
        <v>333</v>
      </c>
      <c r="Q486" s="7"/>
    </row>
    <row r="487" spans="1:22" x14ac:dyDescent="0.2">
      <c r="B487" s="16" t="s">
        <v>334</v>
      </c>
      <c r="M487" s="10">
        <f>'Required OPGEE data'!C29</f>
        <v>0</v>
      </c>
      <c r="N487" s="12">
        <f>'Required OPGEE data'!C29</f>
        <v>0</v>
      </c>
      <c r="O487" s="16" t="s">
        <v>329</v>
      </c>
      <c r="Q487" s="7"/>
    </row>
    <row r="488" spans="1:22" x14ac:dyDescent="0.2">
      <c r="B488" s="16" t="s">
        <v>335</v>
      </c>
      <c r="M488" s="10">
        <f>'Required OPGEE data'!C30</f>
        <v>0</v>
      </c>
      <c r="N488" s="12">
        <f>'Required OPGEE data'!C30</f>
        <v>0</v>
      </c>
      <c r="O488" s="31" t="s">
        <v>243</v>
      </c>
    </row>
    <row r="489" spans="1:22" x14ac:dyDescent="0.2">
      <c r="B489" s="16" t="s">
        <v>336</v>
      </c>
      <c r="M489" s="10">
        <f>IF(M488=0,0,13423+1255.9*M488)</f>
        <v>0</v>
      </c>
      <c r="N489" s="12">
        <f>IF(N488=0,0,13423+1255.9*N488)</f>
        <v>0</v>
      </c>
      <c r="O489" s="31" t="s">
        <v>77</v>
      </c>
    </row>
    <row r="490" spans="1:22" x14ac:dyDescent="0.2">
      <c r="B490" s="16" t="s">
        <v>337</v>
      </c>
      <c r="M490" s="49">
        <v>2</v>
      </c>
      <c r="N490" s="50">
        <v>2</v>
      </c>
      <c r="O490" s="31" t="s">
        <v>333</v>
      </c>
    </row>
    <row r="491" spans="1:22" x14ac:dyDescent="0.2">
      <c r="B491" s="16" t="s">
        <v>338</v>
      </c>
      <c r="M491" s="10">
        <f>M485*M486+M489*M490</f>
        <v>29144.296999999999</v>
      </c>
      <c r="N491" s="12">
        <f>N485*N486+N489*N490</f>
        <v>29144.296999999999</v>
      </c>
      <c r="O491" s="31" t="s">
        <v>188</v>
      </c>
    </row>
    <row r="492" spans="1:22" x14ac:dyDescent="0.2">
      <c r="B492" s="34"/>
      <c r="M492" s="6"/>
    </row>
    <row r="493" spans="1:22" x14ac:dyDescent="0.2">
      <c r="B493" s="34"/>
      <c r="M493" s="6"/>
    </row>
    <row r="494" spans="1:22" x14ac:dyDescent="0.2">
      <c r="A494" s="16" t="s">
        <v>339</v>
      </c>
      <c r="B494" s="34"/>
      <c r="M494" s="6"/>
    </row>
    <row r="495" spans="1:22" x14ac:dyDescent="0.2">
      <c r="B495" s="16" t="s">
        <v>340</v>
      </c>
      <c r="M495" s="51">
        <v>1.5</v>
      </c>
      <c r="N495" s="52">
        <v>1.5</v>
      </c>
      <c r="O495" s="16" t="s">
        <v>274</v>
      </c>
      <c r="S495" s="16" t="s">
        <v>341</v>
      </c>
    </row>
    <row r="496" spans="1:22" x14ac:dyDescent="0.2">
      <c r="B496" s="34"/>
      <c r="M496" s="6"/>
    </row>
    <row r="497" spans="1:60" x14ac:dyDescent="0.2">
      <c r="A497" s="16" t="s">
        <v>342</v>
      </c>
      <c r="B497" s="34"/>
      <c r="M497" s="10">
        <f>(M285+M321+M374+M455+M479+M491)*M495</f>
        <v>309694.06184573955</v>
      </c>
      <c r="O497" s="31" t="s">
        <v>188</v>
      </c>
    </row>
    <row r="498" spans="1:60" x14ac:dyDescent="0.2">
      <c r="B498" s="34"/>
      <c r="M498" s="6"/>
    </row>
    <row r="499" spans="1:60" x14ac:dyDescent="0.2">
      <c r="B499" s="34"/>
      <c r="M499" s="6"/>
    </row>
    <row r="501" spans="1:60" s="27" customFormat="1" ht="15.75" x14ac:dyDescent="0.25">
      <c r="A501" s="26" t="s">
        <v>343</v>
      </c>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row>
    <row r="503" spans="1:60" x14ac:dyDescent="0.2">
      <c r="A503" s="16" t="s">
        <v>344</v>
      </c>
    </row>
    <row r="504" spans="1:60" x14ac:dyDescent="0.2">
      <c r="B504" s="16" t="s">
        <v>345</v>
      </c>
    </row>
    <row r="505" spans="1:60" ht="38.25" x14ac:dyDescent="0.2">
      <c r="B505" s="19" t="s">
        <v>346</v>
      </c>
      <c r="C505" s="19" t="s">
        <v>347</v>
      </c>
      <c r="D505" s="19" t="s">
        <v>348</v>
      </c>
      <c r="E505" s="19" t="s">
        <v>349</v>
      </c>
      <c r="F505" s="19" t="s">
        <v>350</v>
      </c>
      <c r="G505" s="19" t="s">
        <v>351</v>
      </c>
      <c r="H505" s="19" t="s">
        <v>351</v>
      </c>
      <c r="I505" s="19" t="s">
        <v>352</v>
      </c>
      <c r="J505" s="19" t="s">
        <v>353</v>
      </c>
    </row>
    <row r="506" spans="1:60" x14ac:dyDescent="0.2">
      <c r="B506" s="32">
        <v>100</v>
      </c>
      <c r="C506" s="44">
        <v>8</v>
      </c>
      <c r="D506" s="44">
        <v>9.5</v>
      </c>
      <c r="E506" s="53">
        <v>0.25</v>
      </c>
      <c r="F506" s="53">
        <v>0.25</v>
      </c>
      <c r="G506" s="44">
        <v>10.199999999999999</v>
      </c>
      <c r="H506" s="44">
        <v>10.199999999999999</v>
      </c>
      <c r="I506" s="11">
        <f t="shared" ref="I506:I511" si="57">2*PI()*(D506/2)^2+PI()*D506*C506</f>
        <v>380.52541016606369</v>
      </c>
      <c r="J506" s="11">
        <f>I506*H506</f>
        <v>3881.3591836938494</v>
      </c>
    </row>
    <row r="507" spans="1:60" x14ac:dyDescent="0.2">
      <c r="B507" s="32">
        <v>200</v>
      </c>
      <c r="C507" s="44">
        <v>10</v>
      </c>
      <c r="D507" s="44">
        <v>12</v>
      </c>
      <c r="E507" s="53">
        <v>0.25</v>
      </c>
      <c r="F507" s="53">
        <v>0.25</v>
      </c>
      <c r="G507" s="44">
        <v>10.199999999999999</v>
      </c>
      <c r="H507" s="44">
        <v>10.199999999999999</v>
      </c>
      <c r="I507" s="11">
        <f t="shared" si="57"/>
        <v>603.18578948924028</v>
      </c>
      <c r="J507" s="11">
        <f t="shared" ref="J507:J511" si="58">I507*H507</f>
        <v>6152.4950527902502</v>
      </c>
    </row>
    <row r="508" spans="1:60" x14ac:dyDescent="0.2">
      <c r="B508" s="32">
        <v>300</v>
      </c>
      <c r="C508" s="44">
        <v>15</v>
      </c>
      <c r="D508" s="44">
        <v>12</v>
      </c>
      <c r="E508" s="53">
        <v>0.25</v>
      </c>
      <c r="F508" s="53">
        <v>0.25</v>
      </c>
      <c r="G508" s="44">
        <v>10.199999999999999</v>
      </c>
      <c r="H508" s="44">
        <v>10.199999999999999</v>
      </c>
      <c r="I508" s="11">
        <f t="shared" si="57"/>
        <v>791.68134870462791</v>
      </c>
      <c r="J508" s="11">
        <f t="shared" si="58"/>
        <v>8075.1497567872038</v>
      </c>
    </row>
    <row r="509" spans="1:60" x14ac:dyDescent="0.2">
      <c r="B509" s="32">
        <v>400</v>
      </c>
      <c r="C509" s="44">
        <v>20</v>
      </c>
      <c r="D509" s="44">
        <v>12</v>
      </c>
      <c r="E509" s="53">
        <v>0.25</v>
      </c>
      <c r="F509" s="53">
        <v>0.25</v>
      </c>
      <c r="G509" s="44">
        <v>10.199999999999999</v>
      </c>
      <c r="H509" s="44">
        <v>10.199999999999999</v>
      </c>
      <c r="I509" s="11">
        <f t="shared" si="57"/>
        <v>980.17690792001542</v>
      </c>
      <c r="J509" s="11">
        <f t="shared" si="58"/>
        <v>9997.8044607841566</v>
      </c>
    </row>
    <row r="510" spans="1:60" x14ac:dyDescent="0.2">
      <c r="B510" s="32">
        <v>500</v>
      </c>
      <c r="C510" s="44">
        <v>25</v>
      </c>
      <c r="D510" s="44">
        <v>12</v>
      </c>
      <c r="E510" s="53">
        <v>0.25</v>
      </c>
      <c r="F510" s="53">
        <v>0.25</v>
      </c>
      <c r="G510" s="44">
        <v>10.199999999999999</v>
      </c>
      <c r="H510" s="44">
        <v>10.199999999999999</v>
      </c>
      <c r="I510" s="11">
        <f t="shared" si="57"/>
        <v>1168.6724671354029</v>
      </c>
      <c r="J510" s="11">
        <f t="shared" si="58"/>
        <v>11920.459164781108</v>
      </c>
    </row>
    <row r="511" spans="1:60" x14ac:dyDescent="0.2">
      <c r="B511" s="32">
        <v>750</v>
      </c>
      <c r="C511" s="44">
        <v>24</v>
      </c>
      <c r="D511" s="44">
        <v>15.5</v>
      </c>
      <c r="E511" s="53">
        <v>0.25</v>
      </c>
      <c r="F511" s="53">
        <v>0.25</v>
      </c>
      <c r="G511" s="44">
        <v>10.199999999999999</v>
      </c>
      <c r="H511" s="44">
        <v>10.199999999999999</v>
      </c>
      <c r="I511" s="11">
        <f t="shared" si="57"/>
        <v>1546.056284647877</v>
      </c>
      <c r="J511" s="11">
        <f t="shared" si="58"/>
        <v>15769.774103408345</v>
      </c>
    </row>
    <row r="512" spans="1:60" x14ac:dyDescent="0.2">
      <c r="B512" s="4" t="s">
        <v>58</v>
      </c>
    </row>
    <row r="513" spans="2:19" x14ac:dyDescent="0.2">
      <c r="B513" s="4" t="s">
        <v>354</v>
      </c>
    </row>
    <row r="515" spans="2:19" x14ac:dyDescent="0.2">
      <c r="B515" s="16" t="s">
        <v>355</v>
      </c>
      <c r="M515" s="1" t="s">
        <v>2</v>
      </c>
      <c r="N515" s="1" t="s">
        <v>3</v>
      </c>
      <c r="O515" s="16" t="s">
        <v>74</v>
      </c>
      <c r="Q515" s="1" t="s">
        <v>4</v>
      </c>
      <c r="R515" s="1"/>
      <c r="S515" s="1" t="s">
        <v>5</v>
      </c>
    </row>
    <row r="516" spans="2:19" x14ac:dyDescent="0.2">
      <c r="C516" s="16" t="s">
        <v>356</v>
      </c>
      <c r="M516" s="24">
        <v>2</v>
      </c>
      <c r="N516" s="25">
        <v>2</v>
      </c>
      <c r="O516" s="16" t="s">
        <v>357</v>
      </c>
    </row>
    <row r="517" spans="2:19" x14ac:dyDescent="0.2">
      <c r="C517" s="16" t="s">
        <v>358</v>
      </c>
      <c r="M517" s="24">
        <v>0</v>
      </c>
      <c r="N517" s="25">
        <v>0</v>
      </c>
      <c r="O517" s="16" t="s">
        <v>357</v>
      </c>
    </row>
    <row r="518" spans="2:19" x14ac:dyDescent="0.2">
      <c r="B518" s="16" t="s">
        <v>359</v>
      </c>
      <c r="O518" s="31"/>
    </row>
    <row r="519" spans="2:19" x14ac:dyDescent="0.2">
      <c r="C519" s="16" t="s">
        <v>360</v>
      </c>
      <c r="M519" s="10">
        <f>M516*'Required OPGEE data'!C8</f>
        <v>3000</v>
      </c>
      <c r="N519" s="12">
        <f>N516*'Required OPGEE data'!C8</f>
        <v>3000</v>
      </c>
      <c r="O519" s="31" t="s">
        <v>361</v>
      </c>
    </row>
    <row r="520" spans="2:19" x14ac:dyDescent="0.2">
      <c r="C520" s="16" t="s">
        <v>362</v>
      </c>
      <c r="M520" s="10">
        <f>M517*'Required OPGEE data'!C8*'Required OPGEE data'!C22</f>
        <v>0</v>
      </c>
      <c r="N520" s="12">
        <f>N517*'Required OPGEE data'!C8*'Required OPGEE data'!C22</f>
        <v>0</v>
      </c>
      <c r="O520" s="31" t="s">
        <v>363</v>
      </c>
    </row>
    <row r="521" spans="2:19" x14ac:dyDescent="0.2">
      <c r="B521" s="16" t="s">
        <v>364</v>
      </c>
    </row>
    <row r="522" spans="2:19" x14ac:dyDescent="0.2">
      <c r="C522" s="16" t="s">
        <v>365</v>
      </c>
      <c r="M522" s="10">
        <f>M519/B511</f>
        <v>4</v>
      </c>
      <c r="N522" s="12">
        <f>N519/B511</f>
        <v>4</v>
      </c>
      <c r="O522" s="31" t="s">
        <v>366</v>
      </c>
      <c r="Q522" s="16" t="s">
        <v>367</v>
      </c>
    </row>
    <row r="523" spans="2:19" x14ac:dyDescent="0.2">
      <c r="C523" s="16" t="s">
        <v>368</v>
      </c>
      <c r="M523" s="10">
        <f>M520/B511</f>
        <v>0</v>
      </c>
      <c r="N523" s="12">
        <f>N520/B511</f>
        <v>0</v>
      </c>
      <c r="O523" s="31" t="s">
        <v>366</v>
      </c>
      <c r="Q523" s="16" t="s">
        <v>367</v>
      </c>
    </row>
    <row r="524" spans="2:19" x14ac:dyDescent="0.2">
      <c r="B524" s="16" t="s">
        <v>369</v>
      </c>
      <c r="M524" s="10">
        <f>(M522+M523)*J511</f>
        <v>63079.096413633379</v>
      </c>
      <c r="N524" s="12">
        <f>(N522+N523)*J511</f>
        <v>63079.096413633379</v>
      </c>
      <c r="O524" s="31" t="s">
        <v>89</v>
      </c>
    </row>
    <row r="529" spans="1:60" s="27" customFormat="1" ht="15.75" x14ac:dyDescent="0.25">
      <c r="A529" s="26" t="s">
        <v>370</v>
      </c>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row>
    <row r="531" spans="1:60" x14ac:dyDescent="0.2">
      <c r="A531" s="16" t="s">
        <v>371</v>
      </c>
    </row>
    <row r="532" spans="1:60" x14ac:dyDescent="0.2">
      <c r="B532" s="16" t="s">
        <v>372</v>
      </c>
      <c r="Q532" s="1"/>
      <c r="R532" s="1"/>
      <c r="S532" s="1"/>
      <c r="T532" s="1"/>
      <c r="U532" s="1"/>
      <c r="V532" s="1"/>
    </row>
    <row r="533" spans="1:60" x14ac:dyDescent="0.2">
      <c r="C533" s="74" t="s">
        <v>373</v>
      </c>
      <c r="D533" s="75"/>
      <c r="E533" s="74" t="s">
        <v>374</v>
      </c>
      <c r="F533" s="75"/>
      <c r="Q533" s="1"/>
      <c r="R533" s="1"/>
      <c r="S533" s="1"/>
      <c r="T533" s="1"/>
      <c r="U533" s="1"/>
      <c r="V533" s="1"/>
    </row>
    <row r="534" spans="1:60" ht="25.5" x14ac:dyDescent="0.2">
      <c r="B534" s="19" t="s">
        <v>375</v>
      </c>
      <c r="C534" s="19" t="s">
        <v>376</v>
      </c>
      <c r="D534" s="19" t="s">
        <v>377</v>
      </c>
      <c r="E534" s="19" t="s">
        <v>376</v>
      </c>
      <c r="F534" s="19" t="s">
        <v>378</v>
      </c>
    </row>
    <row r="535" spans="1:60" x14ac:dyDescent="0.2">
      <c r="B535" s="32">
        <v>12</v>
      </c>
      <c r="C535" s="29">
        <v>0.375</v>
      </c>
      <c r="D535" s="44">
        <v>49.56</v>
      </c>
      <c r="E535" s="29">
        <v>0.5</v>
      </c>
      <c r="F535" s="44">
        <v>65.42</v>
      </c>
      <c r="G535" s="4" t="s">
        <v>58</v>
      </c>
    </row>
    <row r="536" spans="1:60" x14ac:dyDescent="0.2">
      <c r="B536" s="32">
        <v>16</v>
      </c>
      <c r="C536" s="29">
        <v>0.375</v>
      </c>
      <c r="D536" s="44">
        <v>62.58</v>
      </c>
      <c r="E536" s="29">
        <v>0.5</v>
      </c>
      <c r="F536" s="44">
        <v>82.77</v>
      </c>
      <c r="G536" s="4" t="s">
        <v>379</v>
      </c>
    </row>
    <row r="537" spans="1:60" x14ac:dyDescent="0.2">
      <c r="B537" s="32">
        <v>20</v>
      </c>
      <c r="C537" s="29">
        <v>0.375</v>
      </c>
      <c r="D537" s="44">
        <v>78.599999999999994</v>
      </c>
      <c r="E537" s="29">
        <v>0.5</v>
      </c>
      <c r="F537" s="44">
        <v>104.1</v>
      </c>
      <c r="G537" s="4" t="s">
        <v>380</v>
      </c>
    </row>
    <row r="538" spans="1:60" x14ac:dyDescent="0.2">
      <c r="B538" s="32">
        <v>24</v>
      </c>
      <c r="C538" s="29">
        <v>0.375</v>
      </c>
      <c r="D538" s="44">
        <v>94.62</v>
      </c>
      <c r="E538" s="29">
        <v>0.5</v>
      </c>
      <c r="F538" s="44">
        <v>125.5</v>
      </c>
      <c r="G538" s="4" t="s">
        <v>381</v>
      </c>
    </row>
    <row r="539" spans="1:60" x14ac:dyDescent="0.2">
      <c r="B539" s="32">
        <v>28</v>
      </c>
      <c r="C539" s="29">
        <v>0.375</v>
      </c>
      <c r="D539" s="44">
        <v>110.6</v>
      </c>
      <c r="E539" s="29">
        <v>0.5</v>
      </c>
      <c r="F539" s="44">
        <v>146.80000000000001</v>
      </c>
    </row>
    <row r="540" spans="1:60" x14ac:dyDescent="0.2">
      <c r="B540" s="32">
        <v>32</v>
      </c>
      <c r="C540" s="29">
        <v>0.375</v>
      </c>
      <c r="D540" s="44">
        <v>126.7</v>
      </c>
      <c r="E540" s="29">
        <v>0.5</v>
      </c>
      <c r="F540" s="44">
        <v>168.2</v>
      </c>
    </row>
    <row r="541" spans="1:60" x14ac:dyDescent="0.2">
      <c r="B541" s="32">
        <v>36</v>
      </c>
      <c r="C541" s="29">
        <v>0.375</v>
      </c>
      <c r="D541" s="44">
        <v>142.69999999999999</v>
      </c>
      <c r="E541" s="29">
        <v>0.5</v>
      </c>
      <c r="F541" s="44">
        <v>189.6</v>
      </c>
      <c r="G541" s="45"/>
      <c r="H541" s="45"/>
      <c r="I541" s="40"/>
      <c r="J541" s="40"/>
    </row>
    <row r="542" spans="1:60" x14ac:dyDescent="0.2">
      <c r="B542" s="32">
        <v>42</v>
      </c>
      <c r="C542" s="29">
        <v>0.375</v>
      </c>
      <c r="D542" s="44">
        <v>166.7</v>
      </c>
      <c r="E542" s="29">
        <v>0.5</v>
      </c>
      <c r="F542" s="44">
        <v>221.6</v>
      </c>
      <c r="G542" s="45"/>
      <c r="H542" s="45"/>
      <c r="I542" s="40"/>
      <c r="J542" s="40"/>
    </row>
    <row r="543" spans="1:60" x14ac:dyDescent="0.2">
      <c r="B543" s="32">
        <v>48</v>
      </c>
      <c r="C543" s="29">
        <v>0.375</v>
      </c>
      <c r="D543" s="44">
        <v>190.7</v>
      </c>
      <c r="E543" s="29">
        <v>0.5</v>
      </c>
      <c r="F543" s="44">
        <v>253.6</v>
      </c>
      <c r="G543" s="45"/>
      <c r="H543" s="45"/>
      <c r="I543" s="40"/>
      <c r="J543" s="40"/>
    </row>
    <row r="544" spans="1:60" x14ac:dyDescent="0.2">
      <c r="C544" s="45"/>
      <c r="D544" s="45"/>
      <c r="E544" s="54"/>
      <c r="F544" s="54"/>
      <c r="G544" s="45"/>
      <c r="H544" s="45"/>
      <c r="I544" s="40"/>
      <c r="J544" s="40"/>
    </row>
    <row r="545" spans="1:22" x14ac:dyDescent="0.2">
      <c r="B545" s="8" t="s">
        <v>382</v>
      </c>
      <c r="C545" s="45"/>
      <c r="D545" s="45"/>
      <c r="E545" s="54"/>
      <c r="F545" s="54"/>
      <c r="G545" s="45"/>
      <c r="H545" s="45"/>
      <c r="I545" s="40"/>
      <c r="J545" s="40"/>
      <c r="M545" s="16" t="s">
        <v>2</v>
      </c>
      <c r="N545" s="16" t="s">
        <v>3</v>
      </c>
      <c r="O545" s="16" t="s">
        <v>74</v>
      </c>
      <c r="Q545" s="1" t="s">
        <v>4</v>
      </c>
      <c r="R545" s="1"/>
      <c r="S545" s="1" t="s">
        <v>5</v>
      </c>
      <c r="T545" s="1"/>
      <c r="U545" s="1"/>
      <c r="V545" s="1" t="s">
        <v>291</v>
      </c>
    </row>
    <row r="546" spans="1:22" x14ac:dyDescent="0.2">
      <c r="B546" s="16" t="s">
        <v>383</v>
      </c>
      <c r="M546" s="10">
        <v>240000</v>
      </c>
      <c r="N546" s="12">
        <v>240000</v>
      </c>
      <c r="O546" s="16" t="s">
        <v>384</v>
      </c>
      <c r="S546" s="16" t="s">
        <v>385</v>
      </c>
      <c r="V546" s="16" t="s">
        <v>386</v>
      </c>
    </row>
    <row r="547" spans="1:22" x14ac:dyDescent="0.2">
      <c r="B547" s="16" t="s">
        <v>387</v>
      </c>
      <c r="M547" s="24">
        <v>24</v>
      </c>
      <c r="N547" s="25">
        <v>24</v>
      </c>
      <c r="O547" s="16" t="s">
        <v>388</v>
      </c>
    </row>
    <row r="548" spans="1:22" x14ac:dyDescent="0.2">
      <c r="B548" s="16" t="s">
        <v>389</v>
      </c>
      <c r="M548" s="24">
        <v>1</v>
      </c>
      <c r="N548" s="25">
        <v>1</v>
      </c>
      <c r="O548" s="16" t="s">
        <v>177</v>
      </c>
    </row>
    <row r="549" spans="1:22" x14ac:dyDescent="0.2">
      <c r="B549" s="16" t="s">
        <v>390</v>
      </c>
      <c r="M549" s="10">
        <f>VLOOKUP(M547,B535:F543,IF(M548=1,3,IF(M548=2,5,"ERROR")))</f>
        <v>94.62</v>
      </c>
      <c r="N549" s="12">
        <f>VLOOKUP(N547,B535:F543,IF(N548=1,3,IF(N548=2,5,"ERROR")))</f>
        <v>94.62</v>
      </c>
      <c r="O549" s="16" t="s">
        <v>83</v>
      </c>
      <c r="V549" s="16" t="s">
        <v>391</v>
      </c>
    </row>
    <row r="550" spans="1:22" x14ac:dyDescent="0.2">
      <c r="B550" s="16" t="s">
        <v>392</v>
      </c>
      <c r="M550" s="11">
        <f>M546*1000*3.28*M549</f>
        <v>74484864000</v>
      </c>
      <c r="N550" s="60">
        <f>N546*1000*3.28*N549</f>
        <v>74484864000</v>
      </c>
      <c r="O550" s="16" t="s">
        <v>77</v>
      </c>
    </row>
    <row r="551" spans="1:22" x14ac:dyDescent="0.2">
      <c r="B551" s="16" t="s">
        <v>393</v>
      </c>
      <c r="M551" s="11">
        <f>M550*0.5</f>
        <v>37242432000</v>
      </c>
      <c r="N551" s="60">
        <f>N550*0.5</f>
        <v>37242432000</v>
      </c>
      <c r="O551" s="16" t="s">
        <v>77</v>
      </c>
      <c r="V551" s="16" t="s">
        <v>394</v>
      </c>
    </row>
    <row r="552" spans="1:22" x14ac:dyDescent="0.2">
      <c r="B552" s="16" t="s">
        <v>395</v>
      </c>
      <c r="M552" s="24">
        <v>10</v>
      </c>
      <c r="N552" s="25">
        <v>10</v>
      </c>
      <c r="O552" s="16" t="s">
        <v>396</v>
      </c>
      <c r="V552" s="16" t="s">
        <v>397</v>
      </c>
    </row>
    <row r="553" spans="1:22" x14ac:dyDescent="0.2">
      <c r="B553" s="16" t="s">
        <v>398</v>
      </c>
      <c r="M553" s="24">
        <v>30</v>
      </c>
      <c r="N553" s="25">
        <v>30</v>
      </c>
      <c r="O553" s="16" t="s">
        <v>399</v>
      </c>
      <c r="V553" s="16" t="s">
        <v>400</v>
      </c>
    </row>
    <row r="554" spans="1:22" x14ac:dyDescent="0.2">
      <c r="B554" s="16" t="s">
        <v>401</v>
      </c>
      <c r="M554" s="11">
        <f>M552*365*M553</f>
        <v>109500</v>
      </c>
      <c r="N554" s="60">
        <f>N552*365*N553</f>
        <v>109500</v>
      </c>
      <c r="O554" s="16" t="s">
        <v>402</v>
      </c>
      <c r="V554" s="16" t="s">
        <v>403</v>
      </c>
    </row>
    <row r="555" spans="1:22" x14ac:dyDescent="0.2">
      <c r="B555" s="16" t="s">
        <v>404</v>
      </c>
      <c r="M555" s="10">
        <f>M554/(M551/1000000)</f>
        <v>2.9401946682751543</v>
      </c>
      <c r="N555" s="12">
        <f>N554/(N551/1000000)</f>
        <v>2.9401946682751543</v>
      </c>
      <c r="O555" s="16" t="s">
        <v>405</v>
      </c>
    </row>
    <row r="556" spans="1:22" x14ac:dyDescent="0.2">
      <c r="B556" s="16" t="s">
        <v>406</v>
      </c>
      <c r="M556" s="11">
        <f>'Required OPGEE data'!C12/M555</f>
        <v>353718.07561643841</v>
      </c>
      <c r="N556" s="60">
        <f>'Required OPGEE data'!C12/N555</f>
        <v>353718.07561643841</v>
      </c>
      <c r="O556" s="16" t="s">
        <v>89</v>
      </c>
    </row>
    <row r="557" spans="1:22" x14ac:dyDescent="0.2">
      <c r="B557" s="16" t="s">
        <v>407</v>
      </c>
    </row>
    <row r="560" spans="1:22" x14ac:dyDescent="0.2">
      <c r="A560" s="16" t="s">
        <v>408</v>
      </c>
    </row>
    <row r="561" spans="2:22" x14ac:dyDescent="0.2">
      <c r="B561" s="16" t="s">
        <v>409</v>
      </c>
    </row>
    <row r="562" spans="2:22" x14ac:dyDescent="0.2">
      <c r="C562" s="74" t="s">
        <v>373</v>
      </c>
      <c r="D562" s="75"/>
      <c r="E562" s="74" t="s">
        <v>374</v>
      </c>
      <c r="F562" s="75"/>
      <c r="Q562" s="1"/>
      <c r="R562" s="1"/>
      <c r="S562" s="1"/>
      <c r="T562" s="1"/>
      <c r="U562" s="1"/>
      <c r="V562" s="1"/>
    </row>
    <row r="563" spans="2:22" ht="25.5" x14ac:dyDescent="0.2">
      <c r="B563" s="19" t="s">
        <v>375</v>
      </c>
      <c r="C563" s="19" t="s">
        <v>376</v>
      </c>
      <c r="D563" s="19" t="s">
        <v>377</v>
      </c>
      <c r="E563" s="19" t="s">
        <v>376</v>
      </c>
      <c r="F563" s="19" t="s">
        <v>378</v>
      </c>
    </row>
    <row r="564" spans="2:22" x14ac:dyDescent="0.2">
      <c r="B564" s="32">
        <v>1</v>
      </c>
      <c r="C564" s="29">
        <v>0.13300000000000001</v>
      </c>
      <c r="D564" s="44">
        <v>1.679</v>
      </c>
      <c r="E564" s="29">
        <v>0.17899999999999999</v>
      </c>
      <c r="F564" s="44">
        <v>2.1720000000000002</v>
      </c>
      <c r="G564" s="4" t="s">
        <v>58</v>
      </c>
    </row>
    <row r="565" spans="2:22" x14ac:dyDescent="0.2">
      <c r="B565" s="44">
        <v>1.5</v>
      </c>
      <c r="C565" s="29">
        <v>0.14499999999999999</v>
      </c>
      <c r="D565" s="44">
        <v>2.718</v>
      </c>
      <c r="E565" s="29">
        <v>0.2</v>
      </c>
      <c r="F565" s="44">
        <v>3.6309999999999998</v>
      </c>
      <c r="G565" s="4" t="s">
        <v>379</v>
      </c>
    </row>
    <row r="566" spans="2:22" x14ac:dyDescent="0.2">
      <c r="B566" s="32">
        <v>2</v>
      </c>
      <c r="C566" s="29">
        <v>0.154</v>
      </c>
      <c r="D566" s="44">
        <v>3.653</v>
      </c>
      <c r="E566" s="29">
        <v>0.218</v>
      </c>
      <c r="F566" s="44">
        <v>5.0199999999999996</v>
      </c>
      <c r="G566" s="4" t="s">
        <v>380</v>
      </c>
    </row>
    <row r="567" spans="2:22" x14ac:dyDescent="0.2">
      <c r="B567" s="32">
        <v>3</v>
      </c>
      <c r="C567" s="29">
        <v>0.216</v>
      </c>
      <c r="D567" s="44">
        <v>7.5759999999999996</v>
      </c>
      <c r="E567" s="29">
        <v>0.3</v>
      </c>
      <c r="F567" s="44">
        <v>10.25</v>
      </c>
      <c r="G567" s="4"/>
    </row>
    <row r="568" spans="2:22" x14ac:dyDescent="0.2">
      <c r="B568" s="32">
        <v>4</v>
      </c>
      <c r="C568" s="29">
        <v>0.23699999999999999</v>
      </c>
      <c r="D568" s="44">
        <v>10.79</v>
      </c>
      <c r="E568" s="29">
        <v>0.33700000000000002</v>
      </c>
      <c r="F568" s="44">
        <v>14.98</v>
      </c>
    </row>
    <row r="569" spans="2:22" x14ac:dyDescent="0.2">
      <c r="B569" s="32">
        <v>5</v>
      </c>
      <c r="C569" s="29">
        <v>0.25800000000000001</v>
      </c>
      <c r="D569" s="44">
        <v>14.62</v>
      </c>
      <c r="E569" s="29">
        <v>0.375</v>
      </c>
      <c r="F569" s="44">
        <v>20.78</v>
      </c>
    </row>
    <row r="570" spans="2:22" x14ac:dyDescent="0.2">
      <c r="B570" s="32">
        <v>6</v>
      </c>
      <c r="C570" s="29">
        <v>0.28000000000000003</v>
      </c>
      <c r="D570" s="44">
        <v>18.97</v>
      </c>
      <c r="E570" s="29">
        <v>0.432</v>
      </c>
      <c r="F570" s="44">
        <v>28.57</v>
      </c>
      <c r="G570" s="45"/>
      <c r="H570" s="45"/>
      <c r="I570" s="40"/>
      <c r="J570" s="40"/>
    </row>
    <row r="571" spans="2:22" x14ac:dyDescent="0.2">
      <c r="B571" s="32">
        <v>8</v>
      </c>
      <c r="C571" s="29">
        <v>0.33200000000000002</v>
      </c>
      <c r="D571" s="44">
        <v>28.55</v>
      </c>
      <c r="E571" s="29">
        <v>0.5</v>
      </c>
      <c r="F571" s="44">
        <v>43.39</v>
      </c>
      <c r="G571" s="45"/>
      <c r="H571" s="45"/>
      <c r="I571" s="40"/>
      <c r="J571" s="40"/>
    </row>
    <row r="572" spans="2:22" x14ac:dyDescent="0.2">
      <c r="B572" s="32">
        <v>10</v>
      </c>
      <c r="C572" s="29">
        <v>0.36499999999999999</v>
      </c>
      <c r="D572" s="44">
        <v>40.479999999999997</v>
      </c>
      <c r="E572" s="29">
        <v>0.5</v>
      </c>
      <c r="F572" s="44">
        <v>54.74</v>
      </c>
      <c r="G572" s="45"/>
      <c r="H572" s="45"/>
      <c r="I572" s="40"/>
      <c r="J572" s="40"/>
    </row>
    <row r="574" spans="2:22" x14ac:dyDescent="0.2">
      <c r="M574" s="16" t="s">
        <v>2</v>
      </c>
      <c r="N574" s="16" t="s">
        <v>3</v>
      </c>
      <c r="O574" s="16" t="s">
        <v>74</v>
      </c>
      <c r="Q574" s="1" t="s">
        <v>4</v>
      </c>
      <c r="R574" s="1"/>
      <c r="S574" s="1" t="s">
        <v>5</v>
      </c>
      <c r="T574" s="1"/>
    </row>
    <row r="575" spans="2:22" x14ac:dyDescent="0.2">
      <c r="B575" s="16" t="s">
        <v>410</v>
      </c>
      <c r="M575" s="24">
        <v>1</v>
      </c>
      <c r="N575" s="25">
        <v>1</v>
      </c>
      <c r="O575" s="16" t="s">
        <v>177</v>
      </c>
      <c r="Q575" s="1"/>
      <c r="R575" s="1"/>
      <c r="S575" s="1"/>
      <c r="T575" s="1"/>
    </row>
    <row r="576" spans="2:22" x14ac:dyDescent="0.2">
      <c r="B576" s="16" t="s">
        <v>411</v>
      </c>
      <c r="M576" s="55">
        <f>2.3*1000*3.28</f>
        <v>7544</v>
      </c>
      <c r="N576" s="25">
        <f>2.3*1000*3.28</f>
        <v>7544</v>
      </c>
      <c r="O576" s="16" t="s">
        <v>133</v>
      </c>
      <c r="S576" s="16" t="s">
        <v>412</v>
      </c>
    </row>
    <row r="577" spans="1:60" x14ac:dyDescent="0.2">
      <c r="B577" s="16" t="s">
        <v>413</v>
      </c>
      <c r="M577" s="24">
        <v>5</v>
      </c>
      <c r="N577" s="25">
        <v>5</v>
      </c>
      <c r="O577" s="16" t="s">
        <v>388</v>
      </c>
      <c r="S577" s="16" t="s">
        <v>414</v>
      </c>
    </row>
    <row r="578" spans="1:60" x14ac:dyDescent="0.2">
      <c r="M578" s="55">
        <f>VLOOKUP(M577,B564:F572,IF(M575=1,3,IF(M575=2,5,"ERROR")),TRUE)*M576</f>
        <v>110293.28</v>
      </c>
      <c r="N578" s="56">
        <f>VLOOKUP(N577,B564:F572,IF(N575=1,3,IF(N575=2,5,"ERROR")),TRUE)*N576</f>
        <v>110293.28</v>
      </c>
      <c r="O578" s="31" t="s">
        <v>415</v>
      </c>
    </row>
    <row r="579" spans="1:60" x14ac:dyDescent="0.2">
      <c r="B579" s="16" t="s">
        <v>416</v>
      </c>
      <c r="M579" s="10">
        <f>M578*('Required OPGEE data'!C9+'Required OPGEE data'!C10)</f>
        <v>1433812.64</v>
      </c>
      <c r="N579" s="12">
        <f>N578*('Required OPGEE data'!C9+'Required OPGEE data'!C10)</f>
        <v>1433812.64</v>
      </c>
      <c r="O579" s="31" t="s">
        <v>89</v>
      </c>
    </row>
    <row r="580" spans="1:60" x14ac:dyDescent="0.2">
      <c r="M580" s="47"/>
    </row>
    <row r="581" spans="1:60" x14ac:dyDescent="0.2">
      <c r="M581" s="47"/>
      <c r="O581" s="31"/>
    </row>
    <row r="582" spans="1:60" x14ac:dyDescent="0.2">
      <c r="M582" s="47"/>
    </row>
    <row r="585" spans="1:60" s="27" customFormat="1" ht="15.75" x14ac:dyDescent="0.25">
      <c r="A585" s="26" t="s">
        <v>417</v>
      </c>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row>
    <row r="587" spans="1:60" ht="14.1" customHeight="1" x14ac:dyDescent="0.2">
      <c r="A587" s="16" t="s">
        <v>418</v>
      </c>
      <c r="M587" s="6" t="s">
        <v>2</v>
      </c>
      <c r="N587" s="6"/>
      <c r="O587" s="6" t="s">
        <v>74</v>
      </c>
      <c r="P587" s="6"/>
      <c r="Q587" s="9" t="s">
        <v>4</v>
      </c>
      <c r="R587" s="9"/>
      <c r="S587" s="9" t="s">
        <v>5</v>
      </c>
      <c r="T587" s="9"/>
      <c r="U587" s="9"/>
      <c r="V587" s="9" t="s">
        <v>291</v>
      </c>
    </row>
    <row r="588" spans="1:60" x14ac:dyDescent="0.2">
      <c r="B588" s="16" t="s">
        <v>419</v>
      </c>
      <c r="I588" s="47"/>
      <c r="J588" s="47"/>
      <c r="M588" s="11">
        <f>M128+M129+M497+M524+M556+M579</f>
        <v>5897491.8738758108</v>
      </c>
      <c r="O588" s="16" t="s">
        <v>420</v>
      </c>
    </row>
    <row r="589" spans="1:60" x14ac:dyDescent="0.2">
      <c r="B589" s="16" t="s">
        <v>421</v>
      </c>
      <c r="I589" s="47"/>
      <c r="M589" s="11">
        <f>(M218+M219+M631)*IF(M33=1,C156,IF(M33=2,D156,IF(M33=3,E156,IF(M33=4,F156,"ERROR"))))</f>
        <v>2481948.6552510196</v>
      </c>
      <c r="O589" s="16" t="s">
        <v>422</v>
      </c>
    </row>
    <row r="590" spans="1:60" x14ac:dyDescent="0.2">
      <c r="B590" s="16" t="s">
        <v>423</v>
      </c>
      <c r="I590" s="47"/>
      <c r="J590" s="43"/>
      <c r="M590" s="11">
        <f>M242</f>
        <v>5421963.1331177298</v>
      </c>
      <c r="O590" s="16" t="s">
        <v>424</v>
      </c>
    </row>
    <row r="591" spans="1:60" x14ac:dyDescent="0.2">
      <c r="B591" s="16" t="s">
        <v>425</v>
      </c>
      <c r="I591" s="47"/>
      <c r="M591" s="11">
        <f>IF(M251=1,M255,IF(M251=0,0,"ERROR"))</f>
        <v>0</v>
      </c>
      <c r="O591" s="16" t="s">
        <v>426</v>
      </c>
    </row>
    <row r="592" spans="1:60" x14ac:dyDescent="0.2">
      <c r="B592" s="16" t="s">
        <v>427</v>
      </c>
      <c r="I592" s="47"/>
      <c r="M592" s="11">
        <f>8.3436*IF(M251=1,M252,IF(M251=0,0,"ERROR"))</f>
        <v>0</v>
      </c>
      <c r="O592" s="16" t="s">
        <v>428</v>
      </c>
    </row>
    <row r="594" spans="1:15" x14ac:dyDescent="0.2">
      <c r="A594" s="16" t="s">
        <v>429</v>
      </c>
    </row>
    <row r="595" spans="1:15" x14ac:dyDescent="0.2">
      <c r="B595" s="16" t="s">
        <v>430</v>
      </c>
      <c r="M595" s="24">
        <v>1000</v>
      </c>
      <c r="O595" s="16" t="s">
        <v>431</v>
      </c>
    </row>
    <row r="596" spans="1:15" x14ac:dyDescent="0.2">
      <c r="B596" s="16" t="s">
        <v>432</v>
      </c>
      <c r="M596" s="24">
        <v>100</v>
      </c>
      <c r="O596" s="16" t="s">
        <v>431</v>
      </c>
    </row>
    <row r="597" spans="1:15" x14ac:dyDescent="0.2">
      <c r="B597" s="16" t="s">
        <v>433</v>
      </c>
      <c r="M597" s="24">
        <v>1000</v>
      </c>
      <c r="O597" s="16" t="s">
        <v>431</v>
      </c>
    </row>
    <row r="598" spans="1:15" x14ac:dyDescent="0.2">
      <c r="B598" s="16" t="s">
        <v>434</v>
      </c>
      <c r="M598" s="24">
        <v>1000</v>
      </c>
      <c r="O598" s="16" t="s">
        <v>431</v>
      </c>
    </row>
    <row r="599" spans="1:15" x14ac:dyDescent="0.2">
      <c r="B599" s="16" t="s">
        <v>435</v>
      </c>
      <c r="M599" s="24">
        <v>100</v>
      </c>
      <c r="O599" s="16" t="s">
        <v>431</v>
      </c>
    </row>
    <row r="601" spans="1:15" x14ac:dyDescent="0.2">
      <c r="A601" s="16" t="s">
        <v>436</v>
      </c>
    </row>
    <row r="602" spans="1:15" x14ac:dyDescent="0.2">
      <c r="B602" s="16" t="s">
        <v>437</v>
      </c>
      <c r="M602" s="24">
        <v>2</v>
      </c>
      <c r="O602" s="16" t="s">
        <v>161</v>
      </c>
    </row>
    <row r="603" spans="1:15" x14ac:dyDescent="0.2">
      <c r="B603" s="16" t="s">
        <v>438</v>
      </c>
      <c r="M603" s="24">
        <v>1</v>
      </c>
      <c r="O603" s="16" t="s">
        <v>161</v>
      </c>
    </row>
    <row r="604" spans="1:15" x14ac:dyDescent="0.2">
      <c r="B604" s="16" t="s">
        <v>439</v>
      </c>
      <c r="M604" s="24">
        <v>2</v>
      </c>
      <c r="O604" s="16" t="s">
        <v>161</v>
      </c>
    </row>
    <row r="605" spans="1:15" x14ac:dyDescent="0.2">
      <c r="B605" s="16" t="s">
        <v>440</v>
      </c>
      <c r="M605" s="24">
        <v>2</v>
      </c>
      <c r="O605" s="16" t="s">
        <v>161</v>
      </c>
    </row>
    <row r="606" spans="1:15" x14ac:dyDescent="0.2">
      <c r="B606" s="16" t="s">
        <v>441</v>
      </c>
      <c r="M606" s="24">
        <v>1</v>
      </c>
      <c r="O606" s="16" t="s">
        <v>161</v>
      </c>
    </row>
    <row r="608" spans="1:15" x14ac:dyDescent="0.2">
      <c r="A608" s="16" t="s">
        <v>442</v>
      </c>
    </row>
    <row r="609" spans="1:60" x14ac:dyDescent="0.2">
      <c r="B609" s="16" t="s">
        <v>443</v>
      </c>
      <c r="K609" s="47"/>
      <c r="M609" s="55">
        <f>M588/2000*M595*IF(M602=1,'Required OPGEE data'!$C$34,IF(M602=2,'Required OPGEE data'!$C$35,"ERROR"))/1000000</f>
        <v>1091.0359966670251</v>
      </c>
      <c r="O609" s="16" t="s">
        <v>444</v>
      </c>
    </row>
    <row r="610" spans="1:60" x14ac:dyDescent="0.2">
      <c r="B610" s="16" t="s">
        <v>445</v>
      </c>
      <c r="M610" s="55">
        <f>M589/2000*M596*IF(M603=1,'Required OPGEE data'!$C$34,IF(M603=2,'Required OPGEE data'!$C$35,"ERROR"))/1000000</f>
        <v>120.2504123469119</v>
      </c>
      <c r="O610" s="16" t="s">
        <v>444</v>
      </c>
    </row>
    <row r="611" spans="1:60" x14ac:dyDescent="0.2">
      <c r="B611" s="16" t="s">
        <v>446</v>
      </c>
      <c r="M611" s="55">
        <f>M590/2000*M597*IF(M604=1,'Required OPGEE data'!$C$34,IF(M604=2,'Required OPGEE data'!$C$35,"ERROR"))/1000000</f>
        <v>1003.0631796267801</v>
      </c>
      <c r="O611" s="16" t="s">
        <v>447</v>
      </c>
    </row>
    <row r="612" spans="1:60" x14ac:dyDescent="0.2">
      <c r="B612" s="16" t="s">
        <v>448</v>
      </c>
      <c r="M612" s="55">
        <f>M591/2000*M598*IF(M605=1,'Required OPGEE data'!$C$34,IF(M605=2,'Required OPGEE data'!$C$35,"ERROR"))/1000000</f>
        <v>0</v>
      </c>
      <c r="O612" s="16" t="s">
        <v>444</v>
      </c>
    </row>
    <row r="613" spans="1:60" x14ac:dyDescent="0.2">
      <c r="B613" s="16" t="s">
        <v>449</v>
      </c>
      <c r="M613" s="55">
        <f>M592/2000*M599*IF(M606=1,'Required OPGEE data'!$C$34,IF(M606=2,'Required OPGEE data'!$C$35,"ERROR"))/1000000</f>
        <v>0</v>
      </c>
      <c r="O613" s="16" t="s">
        <v>444</v>
      </c>
    </row>
    <row r="615" spans="1:60" x14ac:dyDescent="0.2">
      <c r="A615" s="16" t="s">
        <v>450</v>
      </c>
    </row>
    <row r="616" spans="1:60" x14ac:dyDescent="0.2">
      <c r="B616" s="16" t="s">
        <v>451</v>
      </c>
      <c r="M616" s="57">
        <f>M609*IF(M602=1,'Required OPGEE data'!$C$36,IF(M602=2,'Required OPGEE data'!$C$37,"ERROR"))</f>
        <v>86072920.813058272</v>
      </c>
      <c r="O616" s="16" t="s">
        <v>452</v>
      </c>
    </row>
    <row r="617" spans="1:60" x14ac:dyDescent="0.2">
      <c r="B617" s="16" t="s">
        <v>453</v>
      </c>
      <c r="M617" s="57">
        <f>M610*IF(M603=1,'Required OPGEE data'!$C$36,IF(M603=2,'Required OPGEE data'!$C$37,"ERROR"))</f>
        <v>9483188.0185021665</v>
      </c>
      <c r="O617" s="16" t="s">
        <v>452</v>
      </c>
    </row>
    <row r="618" spans="1:60" x14ac:dyDescent="0.2">
      <c r="B618" s="16" t="s">
        <v>454</v>
      </c>
      <c r="M618" s="57">
        <f>M611*IF(M604=1,'Required OPGEE data'!$C$36,IF(M604=2,'Required OPGEE data'!$C$37,"ERROR"))</f>
        <v>79132657.303936303</v>
      </c>
      <c r="O618" s="16" t="s">
        <v>452</v>
      </c>
    </row>
    <row r="619" spans="1:60" x14ac:dyDescent="0.2">
      <c r="B619" s="16" t="s">
        <v>455</v>
      </c>
      <c r="M619" s="57">
        <f>M612*IF(M605=1,'Required OPGEE data'!$C$36,IF(M605=2,'Required OPGEE data'!$C$37,"ERROR"))</f>
        <v>0</v>
      </c>
      <c r="O619" s="16" t="s">
        <v>452</v>
      </c>
    </row>
    <row r="620" spans="1:60" x14ac:dyDescent="0.2">
      <c r="B620" s="16" t="s">
        <v>456</v>
      </c>
      <c r="M620" s="57">
        <f>M613*IF(M606=1,'Required OPGEE data'!$C$36,IF(M606=2,'Required OPGEE data'!$C$37,"ERROR"))</f>
        <v>0</v>
      </c>
      <c r="O620" s="16" t="s">
        <v>452</v>
      </c>
    </row>
    <row r="624" spans="1:60" s="27" customFormat="1" ht="15.75" x14ac:dyDescent="0.25">
      <c r="A624" s="26" t="s">
        <v>559</v>
      </c>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row>
    <row r="626" spans="1:60" x14ac:dyDescent="0.2">
      <c r="A626" s="16" t="s">
        <v>560</v>
      </c>
      <c r="M626" s="16" t="s">
        <v>2</v>
      </c>
      <c r="N626" s="16" t="s">
        <v>3</v>
      </c>
      <c r="O626" s="16" t="s">
        <v>74</v>
      </c>
      <c r="Q626" s="1" t="s">
        <v>4</v>
      </c>
      <c r="R626" s="1"/>
      <c r="S626" s="1" t="s">
        <v>5</v>
      </c>
    </row>
    <row r="627" spans="1:60" x14ac:dyDescent="0.2">
      <c r="B627" s="16" t="s">
        <v>561</v>
      </c>
      <c r="M627" s="24">
        <v>4</v>
      </c>
      <c r="N627" s="25">
        <v>4</v>
      </c>
      <c r="O627" s="16" t="s">
        <v>563</v>
      </c>
      <c r="Q627" s="1"/>
      <c r="R627" s="1"/>
      <c r="S627" s="1" t="s">
        <v>562</v>
      </c>
    </row>
    <row r="628" spans="1:60" x14ac:dyDescent="0.2">
      <c r="B628" s="16" t="s">
        <v>564</v>
      </c>
      <c r="M628" s="24">
        <f>N628</f>
        <v>321</v>
      </c>
      <c r="N628" s="25">
        <f>100*3.21</f>
        <v>321</v>
      </c>
      <c r="O628" s="16" t="s">
        <v>133</v>
      </c>
      <c r="S628" s="16" t="s">
        <v>562</v>
      </c>
    </row>
    <row r="629" spans="1:60" x14ac:dyDescent="0.2">
      <c r="B629" s="16" t="s">
        <v>565</v>
      </c>
      <c r="M629" s="24">
        <f>N629</f>
        <v>7</v>
      </c>
      <c r="N629" s="25">
        <f>IF(M31=1,I65,IF(M31=2,F65,IF(M31=3,C65,IF(M31=0,L65,"ERROR"))))</f>
        <v>7</v>
      </c>
      <c r="O629" s="16" t="s">
        <v>388</v>
      </c>
    </row>
    <row r="630" spans="1:60" x14ac:dyDescent="0.2">
      <c r="B630" s="16" t="s">
        <v>566</v>
      </c>
      <c r="M630" s="10">
        <f>N630</f>
        <v>85.788386889433781</v>
      </c>
      <c r="N630" s="12">
        <f>(PI()*(N629/2/12)^2)*N628</f>
        <v>85.788386889433781</v>
      </c>
      <c r="O630" s="16" t="s">
        <v>567</v>
      </c>
    </row>
    <row r="631" spans="1:60" x14ac:dyDescent="0.2">
      <c r="B631" s="16" t="s">
        <v>595</v>
      </c>
      <c r="M631" s="10">
        <f>N631</f>
        <v>9290.1922262865046</v>
      </c>
      <c r="N631" s="12">
        <f>N630*D156</f>
        <v>9290.1922262865046</v>
      </c>
      <c r="O631" s="16" t="s">
        <v>77</v>
      </c>
    </row>
    <row r="634" spans="1:60" s="27" customFormat="1" ht="15.75" x14ac:dyDescent="0.25">
      <c r="A634" s="26" t="s">
        <v>568</v>
      </c>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row>
    <row r="635" spans="1:60" x14ac:dyDescent="0.2">
      <c r="M635" s="6"/>
      <c r="N635" s="6"/>
      <c r="O635" s="6"/>
      <c r="P635" s="6"/>
      <c r="Q635" s="9"/>
      <c r="R635" s="9"/>
      <c r="S635" s="9"/>
      <c r="T635" s="9"/>
      <c r="U635" s="9"/>
      <c r="V635" s="9"/>
    </row>
    <row r="636" spans="1:60" ht="14.1" customHeight="1" x14ac:dyDescent="0.2">
      <c r="A636" s="16" t="s">
        <v>569</v>
      </c>
      <c r="M636" s="6" t="s">
        <v>2</v>
      </c>
      <c r="N636" s="6"/>
      <c r="O636" s="6" t="s">
        <v>74</v>
      </c>
      <c r="P636" s="6"/>
      <c r="Q636" s="9" t="s">
        <v>4</v>
      </c>
      <c r="R636" s="9"/>
      <c r="S636" s="9" t="s">
        <v>5</v>
      </c>
      <c r="T636" s="9"/>
      <c r="U636" s="9"/>
      <c r="V636" s="9" t="s">
        <v>291</v>
      </c>
    </row>
    <row r="637" spans="1:60" x14ac:dyDescent="0.2">
      <c r="B637" s="16" t="s">
        <v>574</v>
      </c>
      <c r="M637" s="11">
        <f>M128+M129+M497+M524+M556+M579</f>
        <v>5897491.8738758108</v>
      </c>
      <c r="O637" s="16" t="s">
        <v>89</v>
      </c>
    </row>
    <row r="638" spans="1:60" ht="18" x14ac:dyDescent="0.2">
      <c r="B638" s="16" t="s">
        <v>575</v>
      </c>
      <c r="M638" s="11">
        <f>M218+M219+M630</f>
        <v>13714.64522763113</v>
      </c>
      <c r="O638" s="16" t="s">
        <v>505</v>
      </c>
    </row>
    <row r="639" spans="1:60" x14ac:dyDescent="0.2">
      <c r="B639" s="16" t="s">
        <v>576</v>
      </c>
      <c r="M639" s="11">
        <f>M242</f>
        <v>5421963.1331177298</v>
      </c>
      <c r="O639" s="16" t="s">
        <v>457</v>
      </c>
    </row>
    <row r="640" spans="1:60" x14ac:dyDescent="0.2">
      <c r="B640" s="16" t="s">
        <v>577</v>
      </c>
      <c r="M640" s="11">
        <f>IF(M251=1,M255,IF(M251=0,0,"ERROR"))</f>
        <v>0</v>
      </c>
      <c r="O640" s="16" t="s">
        <v>202</v>
      </c>
    </row>
    <row r="641" spans="1:22" x14ac:dyDescent="0.2">
      <c r="B641" s="16" t="s">
        <v>578</v>
      </c>
      <c r="M641" s="11">
        <f>IF(M251=1,M252,IF(M251=0,0,"ERROR"))</f>
        <v>0</v>
      </c>
      <c r="O641" s="16" t="s">
        <v>458</v>
      </c>
    </row>
    <row r="643" spans="1:22" x14ac:dyDescent="0.2">
      <c r="A643" s="16" t="s">
        <v>570</v>
      </c>
    </row>
    <row r="644" spans="1:22" ht="19.5" x14ac:dyDescent="0.35">
      <c r="B644" s="16" t="s">
        <v>579</v>
      </c>
      <c r="M644" s="11">
        <f>M637*C19</f>
        <v>7352744916.0128784</v>
      </c>
      <c r="O644" s="16" t="s">
        <v>506</v>
      </c>
    </row>
    <row r="645" spans="1:22" ht="19.5" x14ac:dyDescent="0.35">
      <c r="B645" s="16" t="s">
        <v>580</v>
      </c>
      <c r="M645" s="11">
        <f>M638*IF(M33=1,C163,IF(M33=2,D163,IF(M33=3,E163,IF(M33=4,F163,"ERROR"))))</f>
        <v>501788608.50878382</v>
      </c>
      <c r="O645" s="16" t="s">
        <v>506</v>
      </c>
    </row>
    <row r="646" spans="1:22" ht="19.5" x14ac:dyDescent="0.35">
      <c r="B646" s="16" t="s">
        <v>581</v>
      </c>
      <c r="M646" s="11">
        <f>M244*C15+M245*C14+M246*C16</f>
        <v>302856335.59837365</v>
      </c>
      <c r="O646" s="16" t="s">
        <v>506</v>
      </c>
    </row>
    <row r="647" spans="1:22" ht="19.5" x14ac:dyDescent="0.35">
      <c r="B647" s="16" t="s">
        <v>582</v>
      </c>
      <c r="M647" s="11">
        <f>M640*C18</f>
        <v>0</v>
      </c>
      <c r="O647" s="16" t="s">
        <v>506</v>
      </c>
    </row>
    <row r="648" spans="1:22" ht="19.5" x14ac:dyDescent="0.35">
      <c r="B648" s="16" t="s">
        <v>583</v>
      </c>
      <c r="M648" s="11">
        <f>M641*0</f>
        <v>0</v>
      </c>
      <c r="O648" s="16" t="s">
        <v>506</v>
      </c>
      <c r="V648" s="16" t="s">
        <v>459</v>
      </c>
    </row>
    <row r="649" spans="1:22" ht="19.5" x14ac:dyDescent="0.35">
      <c r="B649" s="16" t="s">
        <v>584</v>
      </c>
      <c r="M649" s="11">
        <f>SUM(M616:M620)</f>
        <v>174688766.13549674</v>
      </c>
      <c r="O649" s="16" t="s">
        <v>506</v>
      </c>
    </row>
    <row r="651" spans="1:22" x14ac:dyDescent="0.2">
      <c r="A651" s="16" t="s">
        <v>571</v>
      </c>
    </row>
    <row r="652" spans="1:22" ht="19.5" x14ac:dyDescent="0.35">
      <c r="B652" s="16" t="s">
        <v>585</v>
      </c>
      <c r="M652" s="11">
        <f>(M644+M645+M647+M648+M649)/'Required OPGEE data'!C12</f>
        <v>7720.4060487088063</v>
      </c>
      <c r="O652" s="16" t="s">
        <v>507</v>
      </c>
    </row>
    <row r="653" spans="1:22" ht="19.5" x14ac:dyDescent="0.35">
      <c r="B653" s="16" t="s">
        <v>586</v>
      </c>
      <c r="M653" s="63">
        <f>M652/'Required OPGEE data'!C18</f>
        <v>1.3269406429323169</v>
      </c>
      <c r="O653" s="16" t="s">
        <v>508</v>
      </c>
    </row>
    <row r="655" spans="1:22" x14ac:dyDescent="0.2">
      <c r="A655" s="16" t="s">
        <v>572</v>
      </c>
    </row>
    <row r="656" spans="1:22" x14ac:dyDescent="0.2">
      <c r="B656" s="16" t="s">
        <v>587</v>
      </c>
      <c r="J656" s="58"/>
      <c r="M656" s="11">
        <f>M637*D19</f>
        <v>70373.125785257638</v>
      </c>
      <c r="O656" s="16" t="s">
        <v>460</v>
      </c>
    </row>
    <row r="657" spans="1:15" x14ac:dyDescent="0.2">
      <c r="B657" s="16" t="s">
        <v>588</v>
      </c>
      <c r="J657" s="58"/>
      <c r="M657" s="11">
        <f>M638*IF(M33=1,C165,IF(M33=2,D165,IF(M33=3,E165,IF(M33=4,F165,"ERROR"))))</f>
        <v>2128.940230074184</v>
      </c>
      <c r="O657" s="16" t="s">
        <v>460</v>
      </c>
    </row>
    <row r="658" spans="1:15" x14ac:dyDescent="0.2">
      <c r="B658" s="16" t="s">
        <v>589</v>
      </c>
      <c r="J658" s="58"/>
      <c r="M658" s="11">
        <f>M244*D15+M245*D14</f>
        <v>3462.9757131317856</v>
      </c>
      <c r="O658" s="16" t="s">
        <v>460</v>
      </c>
    </row>
    <row r="659" spans="1:15" x14ac:dyDescent="0.2">
      <c r="B659" s="16" t="s">
        <v>590</v>
      </c>
      <c r="J659" s="58"/>
      <c r="M659" s="11">
        <f>M640*D18</f>
        <v>0</v>
      </c>
      <c r="O659" s="16" t="s">
        <v>460</v>
      </c>
    </row>
    <row r="660" spans="1:15" x14ac:dyDescent="0.2">
      <c r="B660" s="16" t="s">
        <v>591</v>
      </c>
      <c r="J660" s="58"/>
      <c r="M660" s="11">
        <f>M641*0</f>
        <v>0</v>
      </c>
      <c r="O660" s="16" t="s">
        <v>460</v>
      </c>
    </row>
    <row r="661" spans="1:15" x14ac:dyDescent="0.2">
      <c r="B661" s="16" t="s">
        <v>592</v>
      </c>
      <c r="J661" s="58"/>
      <c r="M661" s="11">
        <f>SUM(M609:M613)</f>
        <v>2214.3495886407172</v>
      </c>
      <c r="O661" s="16" t="s">
        <v>460</v>
      </c>
    </row>
    <row r="663" spans="1:15" x14ac:dyDescent="0.2">
      <c r="A663" s="16" t="s">
        <v>573</v>
      </c>
    </row>
    <row r="664" spans="1:15" x14ac:dyDescent="0.2">
      <c r="B664" s="16" t="s">
        <v>593</v>
      </c>
      <c r="M664" s="64">
        <f>SUM(M656:M661)/'Required OPGEE data'!C12</f>
        <v>7.5172491651061851E-2</v>
      </c>
      <c r="O664" s="16" t="s">
        <v>461</v>
      </c>
    </row>
    <row r="665" spans="1:15" x14ac:dyDescent="0.2">
      <c r="B665" s="16" t="s">
        <v>594</v>
      </c>
      <c r="M665" s="64">
        <f>M664/'Required OPGEE data'!C17</f>
        <v>1.3631540211631279E-2</v>
      </c>
      <c r="O665" s="16" t="s">
        <v>462</v>
      </c>
    </row>
    <row r="669" spans="1:15" x14ac:dyDescent="0.2">
      <c r="J669" s="43"/>
    </row>
    <row r="670" spans="1:15" x14ac:dyDescent="0.2">
      <c r="J670" s="43"/>
    </row>
    <row r="671" spans="1:15" x14ac:dyDescent="0.2">
      <c r="J671" s="43"/>
    </row>
    <row r="672" spans="1:15" x14ac:dyDescent="0.2">
      <c r="J672" s="43"/>
    </row>
    <row r="673" spans="10:10" x14ac:dyDescent="0.2">
      <c r="J673" s="43"/>
    </row>
    <row r="674" spans="10:10" x14ac:dyDescent="0.2">
      <c r="J674" s="43"/>
    </row>
  </sheetData>
  <mergeCells count="30">
    <mergeCell ref="C562:D562"/>
    <mergeCell ref="E562:F562"/>
    <mergeCell ref="C12:D12"/>
    <mergeCell ref="T12:U12"/>
    <mergeCell ref="D329:G329"/>
    <mergeCell ref="C533:D533"/>
    <mergeCell ref="E533:F533"/>
    <mergeCell ref="B39:C39"/>
    <mergeCell ref="C59:E59"/>
    <mergeCell ref="L59:N59"/>
    <mergeCell ref="C72:E72"/>
    <mergeCell ref="F59:H59"/>
    <mergeCell ref="I59:K59"/>
    <mergeCell ref="J233:L233"/>
    <mergeCell ref="E290:I290"/>
    <mergeCell ref="D233:F233"/>
    <mergeCell ref="C201:H201"/>
    <mergeCell ref="G233:I233"/>
    <mergeCell ref="X12:Y12"/>
    <mergeCell ref="Z12:AA12"/>
    <mergeCell ref="T11:W11"/>
    <mergeCell ref="X11:AA11"/>
    <mergeCell ref="V12:W12"/>
    <mergeCell ref="M233:O233"/>
    <mergeCell ref="P233:R233"/>
    <mergeCell ref="E12:F12"/>
    <mergeCell ref="C92:E92"/>
    <mergeCell ref="C177:H177"/>
    <mergeCell ref="C185:H185"/>
    <mergeCell ref="C193:H193"/>
  </mergeCell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0"/>
  <sheetViews>
    <sheetView workbookViewId="0"/>
  </sheetViews>
  <sheetFormatPr defaultColWidth="10.875" defaultRowHeight="15" x14ac:dyDescent="0.2"/>
  <cols>
    <col min="1" max="1" width="10.875" style="16"/>
    <col min="2" max="2" width="22" style="16" customWidth="1"/>
    <col min="3" max="16384" width="10.875" style="16"/>
  </cols>
  <sheetData>
    <row r="1" spans="1:60" s="13" customFormat="1" ht="24" customHeight="1" x14ac:dyDescent="0.3">
      <c r="A1" s="13" t="s">
        <v>463</v>
      </c>
    </row>
    <row r="3" spans="1:60" x14ac:dyDescent="0.2">
      <c r="A3" s="16" t="s">
        <v>514</v>
      </c>
    </row>
    <row r="6" spans="1:60" s="15" customFormat="1" ht="15.75" x14ac:dyDescent="0.25">
      <c r="A6" s="14" t="s">
        <v>515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x14ac:dyDescent="0.2">
      <c r="A7" s="16" t="s">
        <v>464</v>
      </c>
      <c r="C7" s="16">
        <v>7240</v>
      </c>
      <c r="D7" s="16" t="s">
        <v>133</v>
      </c>
    </row>
    <row r="8" spans="1:60" x14ac:dyDescent="0.2">
      <c r="A8" s="16" t="s">
        <v>465</v>
      </c>
      <c r="C8" s="16">
        <v>1500</v>
      </c>
      <c r="D8" s="16" t="s">
        <v>231</v>
      </c>
    </row>
    <row r="9" spans="1:60" x14ac:dyDescent="0.2">
      <c r="A9" s="16" t="s">
        <v>466</v>
      </c>
      <c r="C9" s="16">
        <v>8</v>
      </c>
      <c r="D9" s="16" t="s">
        <v>467</v>
      </c>
    </row>
    <row r="10" spans="1:60" x14ac:dyDescent="0.2">
      <c r="A10" s="16" t="s">
        <v>468</v>
      </c>
      <c r="C10" s="16">
        <v>5</v>
      </c>
      <c r="D10" s="16" t="s">
        <v>467</v>
      </c>
    </row>
    <row r="11" spans="1:60" x14ac:dyDescent="0.2">
      <c r="A11" s="16" t="s">
        <v>489</v>
      </c>
      <c r="C11" s="16">
        <v>130000</v>
      </c>
      <c r="D11" s="16" t="s">
        <v>490</v>
      </c>
    </row>
    <row r="12" spans="1:60" x14ac:dyDescent="0.2">
      <c r="A12" s="16" t="s">
        <v>491</v>
      </c>
      <c r="C12" s="16">
        <f>C11*C9</f>
        <v>1040000</v>
      </c>
      <c r="D12" s="16" t="s">
        <v>498</v>
      </c>
    </row>
    <row r="15" spans="1:60" s="15" customFormat="1" ht="15.75" x14ac:dyDescent="0.25">
      <c r="A15" s="14" t="s">
        <v>516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row>
    <row r="16" spans="1:60" x14ac:dyDescent="0.2">
      <c r="A16" s="16" t="s">
        <v>469</v>
      </c>
      <c r="C16" s="16">
        <v>30</v>
      </c>
      <c r="D16" s="16" t="s">
        <v>470</v>
      </c>
    </row>
    <row r="17" spans="1:60" x14ac:dyDescent="0.2">
      <c r="A17" s="16" t="s">
        <v>471</v>
      </c>
      <c r="C17" s="16">
        <v>5.5145999999999997</v>
      </c>
      <c r="D17" s="16" t="s">
        <v>472</v>
      </c>
    </row>
    <row r="18" spans="1:60" x14ac:dyDescent="0.2">
      <c r="A18" s="16" t="s">
        <v>519</v>
      </c>
      <c r="C18" s="16">
        <v>5818.2</v>
      </c>
      <c r="D18" s="16" t="s">
        <v>473</v>
      </c>
    </row>
    <row r="20" spans="1:60" s="15" customFormat="1" ht="15.75" x14ac:dyDescent="0.25">
      <c r="A20" s="14" t="s">
        <v>517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row>
    <row r="21" spans="1:60" x14ac:dyDescent="0.2">
      <c r="A21" s="16" t="s">
        <v>474</v>
      </c>
      <c r="C21" s="16">
        <v>1000</v>
      </c>
      <c r="D21" s="16" t="s">
        <v>228</v>
      </c>
    </row>
    <row r="22" spans="1:60" x14ac:dyDescent="0.2">
      <c r="A22" s="16" t="s">
        <v>475</v>
      </c>
      <c r="C22" s="16">
        <v>4.3</v>
      </c>
      <c r="D22" s="16" t="s">
        <v>476</v>
      </c>
    </row>
    <row r="23" spans="1:60" x14ac:dyDescent="0.2">
      <c r="A23" s="16" t="s">
        <v>477</v>
      </c>
      <c r="C23" s="16">
        <v>908</v>
      </c>
      <c r="D23" s="16" t="s">
        <v>478</v>
      </c>
    </row>
    <row r="24" spans="1:60" x14ac:dyDescent="0.2">
      <c r="A24" s="16" t="s">
        <v>480</v>
      </c>
      <c r="C24" s="16">
        <v>350</v>
      </c>
      <c r="D24" s="16" t="s">
        <v>481</v>
      </c>
    </row>
    <row r="25" spans="1:60" x14ac:dyDescent="0.2">
      <c r="A25" s="16" t="s">
        <v>482</v>
      </c>
      <c r="C25" s="16">
        <v>98.1</v>
      </c>
      <c r="D25" s="16" t="s">
        <v>483</v>
      </c>
    </row>
    <row r="26" spans="1:60" x14ac:dyDescent="0.2">
      <c r="A26" s="16" t="s">
        <v>484</v>
      </c>
      <c r="C26" s="16">
        <v>230</v>
      </c>
      <c r="D26" s="16" t="s">
        <v>329</v>
      </c>
    </row>
    <row r="27" spans="1:60" x14ac:dyDescent="0.2">
      <c r="A27" s="16" t="s">
        <v>485</v>
      </c>
      <c r="C27" s="16">
        <v>0</v>
      </c>
      <c r="D27" s="16" t="s">
        <v>329</v>
      </c>
    </row>
    <row r="28" spans="1:60" x14ac:dyDescent="0.2">
      <c r="A28" s="16" t="s">
        <v>486</v>
      </c>
      <c r="C28" s="16">
        <v>0.91500000000000004</v>
      </c>
      <c r="D28" s="16" t="s">
        <v>243</v>
      </c>
    </row>
    <row r="29" spans="1:60" x14ac:dyDescent="0.2">
      <c r="A29" s="16" t="s">
        <v>487</v>
      </c>
      <c r="C29" s="16">
        <v>0</v>
      </c>
      <c r="D29" s="16" t="s">
        <v>329</v>
      </c>
    </row>
    <row r="30" spans="1:60" x14ac:dyDescent="0.2">
      <c r="A30" s="16" t="s">
        <v>488</v>
      </c>
      <c r="C30" s="16">
        <v>0</v>
      </c>
      <c r="D30" s="16" t="s">
        <v>243</v>
      </c>
    </row>
    <row r="33" spans="1:60" s="15" customFormat="1" ht="15.75" x14ac:dyDescent="0.25">
      <c r="A33" s="14" t="s">
        <v>518</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row>
    <row r="34" spans="1:60" x14ac:dyDescent="0.2">
      <c r="A34" s="16" t="s">
        <v>492</v>
      </c>
      <c r="C34" s="16">
        <v>969</v>
      </c>
      <c r="D34" s="16" t="s">
        <v>494</v>
      </c>
    </row>
    <row r="35" spans="1:60" x14ac:dyDescent="0.2">
      <c r="A35" s="16" t="s">
        <v>493</v>
      </c>
      <c r="C35" s="16">
        <v>370</v>
      </c>
      <c r="D35" s="16" t="s">
        <v>494</v>
      </c>
    </row>
    <row r="36" spans="1:60" x14ac:dyDescent="0.2">
      <c r="A36" s="16" t="s">
        <v>495</v>
      </c>
      <c r="C36" s="16">
        <v>78862</v>
      </c>
      <c r="D36" s="16" t="s">
        <v>497</v>
      </c>
    </row>
    <row r="37" spans="1:60" x14ac:dyDescent="0.2">
      <c r="A37" s="16" t="s">
        <v>496</v>
      </c>
      <c r="C37" s="16">
        <v>78891</v>
      </c>
      <c r="D37" s="16" t="s">
        <v>497</v>
      </c>
    </row>
    <row r="39" spans="1:60" s="15" customFormat="1" ht="15.75" x14ac:dyDescent="0.25">
      <c r="A39" s="14" t="s">
        <v>604</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row>
    <row r="40" spans="1:60" x14ac:dyDescent="0.2">
      <c r="A40" s="16" t="s">
        <v>605</v>
      </c>
      <c r="C40" s="16">
        <v>7.4805200000000003</v>
      </c>
      <c r="D40" s="16" t="s">
        <v>606</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Embodied Emissions</vt:lpstr>
      <vt:lpstr>Required OPGEE data</vt:lpstr>
    </vt:vector>
  </TitlesOfParts>
  <Company>Stanford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Brandt</dc:creator>
  <cp:lastModifiedBy>Rachel</cp:lastModifiedBy>
  <dcterms:created xsi:type="dcterms:W3CDTF">2015-04-21T19:05:01Z</dcterms:created>
  <dcterms:modified xsi:type="dcterms:W3CDTF">2015-09-30T20:27:10Z</dcterms:modified>
</cp:coreProperties>
</file>